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drawings/drawing10.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0.xml" ContentType="application/vnd.openxmlformats-officedocument.spreadsheetml.pivotTable+xml"/>
  <Override PartName="/xl/drawings/drawing11.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1.xml" ContentType="application/vnd.openxmlformats-officedocument.spreadsheetml.pivotTable+xml"/>
  <Override PartName="/xl/drawings/drawing12.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13.xml" ContentType="application/vnd.openxmlformats-officedocument.spreadsheetml.pivotTable+xml"/>
  <Override PartName="/xl/drawings/drawing14.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slicers/slicer4.xml" ContentType="application/vnd.ms-excel.slicer+xml"/>
  <Override PartName="/xl/timelines/timeline3.xml" ContentType="application/vnd.ms-excel.timelin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6.xml" ContentType="application/vnd.openxmlformats-officedocument.drawing+xml"/>
  <Override PartName="/xl/slicers/slicer5.xml" ContentType="application/vnd.ms-excel.slicer+xml"/>
  <Override PartName="/xl/timelines/timeline4.xml" ContentType="application/vnd.ms-excel.timelin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Ex2.xml" ContentType="application/vnd.ms-office.chartex+xml"/>
  <Override PartName="/xl/charts/style19.xml" ContentType="application/vnd.ms-office.chartstyle+xml"/>
  <Override PartName="/xl/charts/colors19.xml" ContentType="application/vnd.ms-office.chartcolorstyle+xml"/>
  <Override PartName="/xl/charts/chart18.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7.xml" ContentType="application/vnd.openxmlformats-officedocument.drawing+xml"/>
  <Override PartName="/xl/slicers/slicer6.xml" ContentType="application/vnd.ms-excel.slicer+xml"/>
  <Override PartName="/xl/timelines/timeline5.xml" ContentType="application/vnd.ms-excel.timeline+xml"/>
  <Override PartName="/xl/charts/chart19.xml" ContentType="application/vnd.openxmlformats-officedocument.drawingml.chart+xml"/>
  <Override PartName="/xl/charts/style21.xml" ContentType="application/vnd.ms-office.chartstyle+xml"/>
  <Override PartName="/xl/charts/colors21.xml" ContentType="application/vnd.ms-office.chartcolorstyle+xml"/>
  <Override PartName="/xl/charts/chart20.xml" ContentType="application/vnd.openxmlformats-officedocument.drawingml.chart+xml"/>
  <Override PartName="/xl/charts/style22.xml" ContentType="application/vnd.ms-office.chartstyle+xml"/>
  <Override PartName="/xl/charts/colors22.xml" ContentType="application/vnd.ms-office.chartcolorstyle+xml"/>
  <Override PartName="/xl/charts/chart21.xml" ContentType="application/vnd.openxmlformats-officedocument.drawingml.chart+xml"/>
  <Override PartName="/xl/charts/style23.xml" ContentType="application/vnd.ms-office.chartstyle+xml"/>
  <Override PartName="/xl/charts/colors23.xml" ContentType="application/vnd.ms-office.chartcolorstyle+xml"/>
  <Override PartName="/xl/charts/chart22.xml" ContentType="application/vnd.openxmlformats-officedocument.drawingml.chart+xml"/>
  <Override PartName="/xl/charts/style24.xml" ContentType="application/vnd.ms-office.chartstyle+xml"/>
  <Override PartName="/xl/charts/colors24.xml" ContentType="application/vnd.ms-office.chartcolorstyle+xml"/>
  <Override PartName="/xl/charts/chart23.xml" ContentType="application/vnd.openxmlformats-officedocument.drawingml.chart+xml"/>
  <Override PartName="/xl/charts/style25.xml" ContentType="application/vnd.ms-office.chartstyle+xml"/>
  <Override PartName="/xl/charts/colors25.xml" ContentType="application/vnd.ms-office.chartcolorstyle+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charts/chart25.xml" ContentType="application/vnd.openxmlformats-officedocument.drawingml.chart+xml"/>
  <Override PartName="/xl/charts/style27.xml" ContentType="application/vnd.ms-office.chartstyle+xml"/>
  <Override PartName="/xl/charts/colors27.xml" ContentType="application/vnd.ms-office.chartcolorstyle+xml"/>
  <Override PartName="/xl/charts/chart26.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teph\Downloads\Excel Data Analysis Project\Mo Chen\excel-project-coffee-sales-main\excel-project-coffee-sales-main\"/>
    </mc:Choice>
  </mc:AlternateContent>
  <xr:revisionPtr revIDLastSave="0" documentId="13_ncr:1_{38BEDDCE-DAB4-4B16-9FBC-1B2F83A8759E}" xr6:coauthVersionLast="47" xr6:coauthVersionMax="47" xr10:uidLastSave="{00000000-0000-0000-0000-000000000000}"/>
  <bookViews>
    <workbookView xWindow="38280" yWindow="-120" windowWidth="29040" windowHeight="15720" tabRatio="806" firstSheet="13" activeTab="20" xr2:uid="{00000000-000D-0000-FFFF-FFFF00000000}"/>
  </bookViews>
  <sheets>
    <sheet name="orders" sheetId="17" r:id="rId1"/>
    <sheet name="customers" sheetId="13" r:id="rId2"/>
    <sheet name="products" sheetId="2" r:id="rId3"/>
    <sheet name="TotalSales" sheetId="18" r:id="rId4"/>
    <sheet name="CountryBarChart" sheetId="19" r:id="rId5"/>
    <sheet name="Top5Customers" sheetId="22" r:id="rId6"/>
    <sheet name="ExecSalesByMonth" sheetId="24" r:id="rId7"/>
    <sheet name="ExecSalesDistribution" sheetId="25" r:id="rId8"/>
    <sheet name="ExecHeatMap" sheetId="31" r:id="rId9"/>
    <sheet name="ManagerTopCountryBySale" sheetId="34" r:id="rId10"/>
    <sheet name="ManagerSalesByLoyalty" sheetId="35" r:id="rId11"/>
    <sheet name="ManagerTop5Products" sheetId="36" r:id="rId12"/>
    <sheet name="ManagerTrendArabica" sheetId="37" r:id="rId13"/>
    <sheet name="ManagerTrendRobusta" sheetId="38" r:id="rId14"/>
    <sheet name="ManagerTrendLiberica" sheetId="39" r:id="rId15"/>
    <sheet name="ManagerTrendExecelsa" sheetId="40" r:id="rId16"/>
    <sheet name="kpis" sheetId="33" r:id="rId17"/>
    <sheet name="ManagerSaleProfit" sheetId="41" r:id="rId18"/>
    <sheet name="Dashboard" sheetId="21" r:id="rId19"/>
    <sheet name="Executive Dashboard" sheetId="32" r:id="rId20"/>
    <sheet name="Manager Dashboard" sheetId="45" r:id="rId21"/>
  </sheets>
  <definedNames>
    <definedName name="_xlnm._FilterDatabase" localSheetId="1" hidden="1">customers!$B$1:$B$1001</definedName>
    <definedName name="_xlnm._FilterDatabase" localSheetId="0" hidden="1">orders!$A$1:$O$1001</definedName>
    <definedName name="_xlnm._FilterDatabase" localSheetId="2" hidden="1">products!$A$1:$G$49</definedName>
    <definedName name="_xlchart.v1.0" hidden="1">ExecHeatMap!$A$2:$A$5</definedName>
    <definedName name="_xlchart.v1.1" hidden="1">ExecHeatMap!$B$1</definedName>
    <definedName name="_xlchart.v1.2" hidden="1">ExecHeatMap!$B$2:$B$5</definedName>
    <definedName name="_xlchart.v1.3" hidden="1">ExecHeatMap!$A$2:$A$5</definedName>
    <definedName name="_xlchart.v1.4" hidden="1">ExecHeatMap!$B$1</definedName>
    <definedName name="_xlchart.v1.5" hidden="1">ExecHeatMap!$B$2:$B$5</definedName>
    <definedName name="NativeTimeline_Order_Date">#N/A</definedName>
    <definedName name="NativeTimeline_Order_Date1">#N/A</definedName>
    <definedName name="Slicer_Coffee_Type_Name">#N/A</definedName>
    <definedName name="Slicer_Loyalty_Card">#N/A</definedName>
    <definedName name="Slicer_Roast_Type_Name">#N/A</definedName>
    <definedName name="Slicer_Roast_Type_Name1">#N/A</definedName>
    <definedName name="Slicer_Size">#N/A</definedName>
    <definedName name="Slicer_Size1">#N/A</definedName>
  </definedNames>
  <calcPr calcId="191028"/>
  <pivotCaches>
    <pivotCache cacheId="80" r:id="rId22"/>
  </pivotCaches>
  <extLst>
    <ext xmlns:x14="http://schemas.microsoft.com/office/spreadsheetml/2009/9/main" uri="{BBE1A952-AA13-448e-AADC-164F8A28A991}">
      <x14:slicerCaches>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9"/>
        <x15:timelineCacheRef r:id="rId3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7" l="1"/>
  <c r="E2" i="17"/>
  <c r="F7" i="33"/>
  <c r="F5" i="33"/>
  <c r="F6" i="33"/>
  <c r="F8" i="33"/>
  <c r="C6" i="33"/>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X14" i="17"/>
  <c r="X15"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63" i="17"/>
  <c r="E64" i="17"/>
  <c r="E65" i="17"/>
  <c r="E66" i="17"/>
  <c r="E67" i="17"/>
  <c r="E68" i="17"/>
  <c r="E69" i="17"/>
  <c r="E70" i="17"/>
  <c r="E71" i="17"/>
  <c r="E72" i="17"/>
  <c r="E73" i="17"/>
  <c r="E74" i="17"/>
  <c r="E75" i="17"/>
  <c r="E76" i="17"/>
  <c r="E77" i="17"/>
  <c r="E78" i="17"/>
  <c r="E79" i="17"/>
  <c r="E80" i="17"/>
  <c r="E81" i="17"/>
  <c r="E82" i="17"/>
  <c r="E83" i="17"/>
  <c r="E84" i="17"/>
  <c r="E85" i="17"/>
  <c r="E86" i="17"/>
  <c r="E87" i="17"/>
  <c r="E88" i="17"/>
  <c r="E89" i="17"/>
  <c r="E90" i="17"/>
  <c r="E91" i="17"/>
  <c r="E92" i="17"/>
  <c r="E93" i="17"/>
  <c r="E94" i="17"/>
  <c r="E95" i="17"/>
  <c r="E96" i="17"/>
  <c r="E97" i="17"/>
  <c r="E98" i="17"/>
  <c r="E99" i="17"/>
  <c r="E100" i="17"/>
  <c r="E101" i="17"/>
  <c r="E102" i="17"/>
  <c r="E103" i="17"/>
  <c r="E104" i="17"/>
  <c r="E105" i="17"/>
  <c r="E106" i="17"/>
  <c r="E107" i="17"/>
  <c r="E108" i="17"/>
  <c r="E109" i="17"/>
  <c r="E110" i="17"/>
  <c r="E111" i="17"/>
  <c r="E112" i="17"/>
  <c r="E113" i="17"/>
  <c r="E114" i="17"/>
  <c r="E115" i="17"/>
  <c r="E116" i="17"/>
  <c r="E117" i="17"/>
  <c r="E118" i="17"/>
  <c r="E119" i="17"/>
  <c r="E120" i="17"/>
  <c r="E121" i="17"/>
  <c r="E122" i="17"/>
  <c r="E123" i="17"/>
  <c r="E124" i="17"/>
  <c r="E125" i="17"/>
  <c r="E126" i="17"/>
  <c r="E127" i="17"/>
  <c r="E128" i="17"/>
  <c r="E129" i="17"/>
  <c r="E130" i="17"/>
  <c r="E131" i="17"/>
  <c r="E132" i="17"/>
  <c r="E133" i="17"/>
  <c r="E134" i="17"/>
  <c r="E135" i="17"/>
  <c r="E136" i="17"/>
  <c r="E137" i="17"/>
  <c r="E138" i="17"/>
  <c r="E139" i="17"/>
  <c r="E140" i="17"/>
  <c r="E141" i="17"/>
  <c r="E142" i="17"/>
  <c r="E143" i="17"/>
  <c r="E144" i="17"/>
  <c r="E145" i="17"/>
  <c r="E146" i="17"/>
  <c r="E147" i="17"/>
  <c r="E148" i="17"/>
  <c r="E149" i="17"/>
  <c r="E150" i="17"/>
  <c r="E151" i="17"/>
  <c r="E152" i="17"/>
  <c r="E153" i="17"/>
  <c r="E154" i="17"/>
  <c r="E155" i="17"/>
  <c r="E156" i="17"/>
  <c r="E157" i="17"/>
  <c r="E158" i="17"/>
  <c r="E159" i="17"/>
  <c r="E160" i="17"/>
  <c r="E161" i="17"/>
  <c r="E162" i="17"/>
  <c r="E163" i="17"/>
  <c r="E164" i="17"/>
  <c r="E165" i="17"/>
  <c r="E166" i="17"/>
  <c r="E167" i="17"/>
  <c r="E168" i="17"/>
  <c r="E169" i="17"/>
  <c r="E170" i="17"/>
  <c r="E171" i="17"/>
  <c r="E172" i="17"/>
  <c r="E173" i="17"/>
  <c r="E174" i="17"/>
  <c r="E175" i="17"/>
  <c r="E176" i="17"/>
  <c r="E177" i="17"/>
  <c r="E178" i="17"/>
  <c r="E179" i="17"/>
  <c r="E180" i="17"/>
  <c r="E181" i="17"/>
  <c r="E182" i="17"/>
  <c r="E183" i="17"/>
  <c r="E184" i="17"/>
  <c r="E185" i="17"/>
  <c r="E186" i="17"/>
  <c r="E187" i="17"/>
  <c r="E188" i="17"/>
  <c r="E189" i="17"/>
  <c r="E190" i="17"/>
  <c r="E191" i="17"/>
  <c r="E192" i="17"/>
  <c r="E193" i="17"/>
  <c r="E194" i="17"/>
  <c r="E195" i="17"/>
  <c r="E196" i="17"/>
  <c r="E197" i="17"/>
  <c r="E198" i="17"/>
  <c r="E199" i="17"/>
  <c r="E200" i="17"/>
  <c r="E201" i="17"/>
  <c r="E202" i="17"/>
  <c r="E203" i="17"/>
  <c r="E204" i="17"/>
  <c r="E205" i="17"/>
  <c r="E206" i="17"/>
  <c r="E207" i="17"/>
  <c r="E208" i="17"/>
  <c r="E209" i="17"/>
  <c r="E210" i="17"/>
  <c r="E211" i="17"/>
  <c r="E212" i="17"/>
  <c r="E213" i="17"/>
  <c r="E214" i="17"/>
  <c r="E215" i="17"/>
  <c r="E216" i="17"/>
  <c r="E217" i="17"/>
  <c r="E218"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79" i="17"/>
  <c r="E280" i="17"/>
  <c r="E281" i="17"/>
  <c r="E282" i="17"/>
  <c r="E283" i="17"/>
  <c r="E284" i="17"/>
  <c r="E285" i="17"/>
  <c r="E286" i="17"/>
  <c r="E287" i="17"/>
  <c r="E288" i="17"/>
  <c r="E289" i="17"/>
  <c r="E290" i="17"/>
  <c r="E291" i="17"/>
  <c r="E292" i="17"/>
  <c r="E293" i="17"/>
  <c r="E294" i="17"/>
  <c r="E295" i="17"/>
  <c r="E296" i="17"/>
  <c r="E297" i="17"/>
  <c r="E298" i="17"/>
  <c r="E299" i="17"/>
  <c r="E300" i="17"/>
  <c r="E301" i="17"/>
  <c r="E302" i="17"/>
  <c r="E303" i="17"/>
  <c r="E304" i="17"/>
  <c r="E305" i="17"/>
  <c r="E306" i="17"/>
  <c r="E307" i="17"/>
  <c r="E308" i="17"/>
  <c r="E309" i="17"/>
  <c r="E310" i="17"/>
  <c r="E311" i="17"/>
  <c r="E312" i="17"/>
  <c r="E313" i="17"/>
  <c r="E314" i="17"/>
  <c r="E315" i="17"/>
  <c r="E316" i="17"/>
  <c r="E317" i="17"/>
  <c r="E318" i="17"/>
  <c r="E319" i="17"/>
  <c r="E320" i="17"/>
  <c r="E321" i="17"/>
  <c r="E322" i="17"/>
  <c r="E323" i="17"/>
  <c r="E324" i="17"/>
  <c r="E325" i="17"/>
  <c r="E326" i="17"/>
  <c r="E327" i="17"/>
  <c r="E328" i="17"/>
  <c r="E329" i="17"/>
  <c r="E330" i="17"/>
  <c r="E331" i="17"/>
  <c r="E332" i="17"/>
  <c r="E333" i="17"/>
  <c r="E334" i="17"/>
  <c r="E335" i="17"/>
  <c r="E336" i="17"/>
  <c r="E337" i="17"/>
  <c r="E338" i="17"/>
  <c r="E339" i="17"/>
  <c r="E340" i="17"/>
  <c r="E341" i="17"/>
  <c r="E342" i="17"/>
  <c r="E343" i="17"/>
  <c r="E344" i="17"/>
  <c r="E345" i="17"/>
  <c r="E346" i="17"/>
  <c r="E347" i="17"/>
  <c r="E348" i="17"/>
  <c r="E349" i="17"/>
  <c r="E350" i="17"/>
  <c r="E351" i="17"/>
  <c r="E352" i="17"/>
  <c r="E353" i="17"/>
  <c r="E354" i="17"/>
  <c r="E355" i="17"/>
  <c r="E356" i="17"/>
  <c r="E357" i="17"/>
  <c r="E358" i="17"/>
  <c r="E359" i="17"/>
  <c r="E360" i="17"/>
  <c r="E361" i="17"/>
  <c r="E362" i="17"/>
  <c r="E363" i="17"/>
  <c r="E364" i="17"/>
  <c r="E365" i="17"/>
  <c r="E366" i="17"/>
  <c r="E367" i="17"/>
  <c r="E368" i="17"/>
  <c r="E369" i="17"/>
  <c r="E370" i="17"/>
  <c r="E371" i="17"/>
  <c r="E372" i="17"/>
  <c r="E373" i="17"/>
  <c r="E374" i="17"/>
  <c r="E375" i="17"/>
  <c r="E376" i="17"/>
  <c r="E377" i="17"/>
  <c r="E378" i="17"/>
  <c r="E379" i="17"/>
  <c r="E380" i="17"/>
  <c r="E381" i="17"/>
  <c r="E382" i="17"/>
  <c r="E383" i="17"/>
  <c r="E384" i="17"/>
  <c r="E385" i="17"/>
  <c r="E386" i="17"/>
  <c r="E387" i="17"/>
  <c r="E388" i="17"/>
  <c r="E389" i="17"/>
  <c r="E390" i="17"/>
  <c r="E391" i="17"/>
  <c r="E392" i="17"/>
  <c r="E393" i="17"/>
  <c r="E394" i="17"/>
  <c r="E395" i="17"/>
  <c r="E396" i="17"/>
  <c r="E397" i="17"/>
  <c r="E398" i="17"/>
  <c r="E399" i="17"/>
  <c r="E400" i="17"/>
  <c r="E401" i="17"/>
  <c r="E402" i="17"/>
  <c r="E403" i="17"/>
  <c r="E404" i="17"/>
  <c r="E405" i="17"/>
  <c r="E406" i="17"/>
  <c r="E407" i="17"/>
  <c r="E408" i="17"/>
  <c r="E409" i="17"/>
  <c r="E410" i="17"/>
  <c r="E411" i="17"/>
  <c r="E412" i="17"/>
  <c r="E413" i="17"/>
  <c r="E414" i="17"/>
  <c r="E415" i="17"/>
  <c r="E416" i="17"/>
  <c r="E417" i="17"/>
  <c r="E418" i="17"/>
  <c r="E419" i="17"/>
  <c r="E420" i="17"/>
  <c r="E421" i="17"/>
  <c r="E422" i="17"/>
  <c r="E423" i="17"/>
  <c r="E424" i="17"/>
  <c r="E425" i="17"/>
  <c r="E426" i="17"/>
  <c r="E427" i="17"/>
  <c r="E428" i="17"/>
  <c r="E429" i="17"/>
  <c r="E430" i="17"/>
  <c r="E431" i="17"/>
  <c r="E432" i="17"/>
  <c r="E433" i="17"/>
  <c r="E434" i="17"/>
  <c r="E435" i="17"/>
  <c r="E436" i="17"/>
  <c r="E437" i="17"/>
  <c r="E438" i="17"/>
  <c r="E439" i="17"/>
  <c r="E440" i="17"/>
  <c r="E441" i="17"/>
  <c r="E442" i="17"/>
  <c r="E443" i="17"/>
  <c r="E444" i="17"/>
  <c r="E445" i="17"/>
  <c r="E446" i="17"/>
  <c r="E447" i="17"/>
  <c r="E448" i="17"/>
  <c r="E449" i="17"/>
  <c r="E450" i="17"/>
  <c r="E451" i="17"/>
  <c r="E452" i="17"/>
  <c r="E453" i="17"/>
  <c r="E454" i="17"/>
  <c r="E455" i="17"/>
  <c r="E456" i="17"/>
  <c r="E457" i="17"/>
  <c r="E458" i="17"/>
  <c r="E459" i="17"/>
  <c r="E460" i="17"/>
  <c r="E461" i="17"/>
  <c r="E462" i="17"/>
  <c r="E463" i="17"/>
  <c r="E464" i="17"/>
  <c r="E465" i="17"/>
  <c r="E466" i="17"/>
  <c r="E467" i="17"/>
  <c r="E468" i="17"/>
  <c r="E469" i="17"/>
  <c r="E470" i="17"/>
  <c r="E471" i="17"/>
  <c r="E472" i="17"/>
  <c r="E473" i="17"/>
  <c r="E474" i="17"/>
  <c r="E475" i="17"/>
  <c r="E476" i="17"/>
  <c r="E477" i="17"/>
  <c r="E478" i="17"/>
  <c r="E479" i="17"/>
  <c r="E480" i="17"/>
  <c r="E481" i="17"/>
  <c r="E482" i="17"/>
  <c r="E483" i="17"/>
  <c r="E484" i="17"/>
  <c r="E485" i="17"/>
  <c r="E486" i="17"/>
  <c r="E487" i="17"/>
  <c r="E488" i="17"/>
  <c r="E489" i="17"/>
  <c r="E490" i="17"/>
  <c r="E491" i="17"/>
  <c r="E492" i="17"/>
  <c r="E493" i="17"/>
  <c r="E494" i="17"/>
  <c r="E495" i="17"/>
  <c r="E496" i="17"/>
  <c r="E497" i="17"/>
  <c r="E498" i="17"/>
  <c r="E499" i="17"/>
  <c r="E500" i="17"/>
  <c r="E501" i="17"/>
  <c r="E502" i="17"/>
  <c r="E503" i="17"/>
  <c r="E504" i="17"/>
  <c r="E505" i="17"/>
  <c r="E506" i="17"/>
  <c r="E507" i="17"/>
  <c r="E508" i="17"/>
  <c r="E509" i="17"/>
  <c r="E510" i="17"/>
  <c r="E511" i="17"/>
  <c r="E512" i="17"/>
  <c r="E513" i="17"/>
  <c r="E514" i="17"/>
  <c r="E515" i="17"/>
  <c r="E516" i="17"/>
  <c r="E517" i="17"/>
  <c r="E518" i="17"/>
  <c r="E519" i="17"/>
  <c r="E520" i="17"/>
  <c r="E521" i="17"/>
  <c r="E522" i="17"/>
  <c r="E523" i="17"/>
  <c r="E524" i="17"/>
  <c r="E525" i="17"/>
  <c r="E526" i="17"/>
  <c r="E527" i="17"/>
  <c r="E528" i="17"/>
  <c r="E529" i="17"/>
  <c r="E530" i="17"/>
  <c r="E531" i="17"/>
  <c r="E532" i="17"/>
  <c r="E533" i="17"/>
  <c r="E534" i="17"/>
  <c r="E535" i="17"/>
  <c r="E536" i="17"/>
  <c r="E537" i="17"/>
  <c r="E538" i="17"/>
  <c r="E539" i="17"/>
  <c r="E540" i="17"/>
  <c r="E541" i="17"/>
  <c r="E542" i="17"/>
  <c r="E543" i="17"/>
  <c r="E544" i="17"/>
  <c r="E545" i="17"/>
  <c r="E546" i="17"/>
  <c r="E547" i="17"/>
  <c r="E548" i="17"/>
  <c r="E549" i="17"/>
  <c r="E550" i="17"/>
  <c r="E551" i="17"/>
  <c r="E552" i="17"/>
  <c r="E553" i="17"/>
  <c r="E554" i="17"/>
  <c r="E555" i="17"/>
  <c r="E556" i="17"/>
  <c r="E557" i="17"/>
  <c r="E558" i="17"/>
  <c r="E559" i="17"/>
  <c r="E560" i="17"/>
  <c r="E561" i="17"/>
  <c r="E562" i="17"/>
  <c r="E563" i="17"/>
  <c r="E564" i="17"/>
  <c r="E565" i="17"/>
  <c r="E566" i="17"/>
  <c r="E567" i="17"/>
  <c r="E568" i="17"/>
  <c r="E569" i="17"/>
  <c r="E570" i="17"/>
  <c r="E571" i="17"/>
  <c r="E572" i="17"/>
  <c r="E573" i="17"/>
  <c r="E574" i="17"/>
  <c r="E575" i="17"/>
  <c r="E576" i="17"/>
  <c r="E577" i="17"/>
  <c r="E578" i="17"/>
  <c r="E579" i="17"/>
  <c r="E580" i="17"/>
  <c r="E581" i="17"/>
  <c r="E582" i="17"/>
  <c r="E583" i="17"/>
  <c r="E584" i="17"/>
  <c r="E585" i="17"/>
  <c r="E586" i="17"/>
  <c r="E587" i="17"/>
  <c r="E588" i="17"/>
  <c r="E589" i="17"/>
  <c r="E590" i="17"/>
  <c r="E591" i="17"/>
  <c r="E592" i="17"/>
  <c r="E593" i="17"/>
  <c r="E594" i="17"/>
  <c r="E595" i="17"/>
  <c r="E596" i="17"/>
  <c r="E597" i="17"/>
  <c r="E598" i="17"/>
  <c r="E599" i="17"/>
  <c r="E600" i="17"/>
  <c r="E601" i="17"/>
  <c r="E602" i="17"/>
  <c r="E603" i="17"/>
  <c r="E604" i="17"/>
  <c r="E605" i="17"/>
  <c r="E606" i="17"/>
  <c r="E607" i="17"/>
  <c r="E608" i="17"/>
  <c r="E609" i="17"/>
  <c r="E610" i="17"/>
  <c r="E611" i="17"/>
  <c r="E612" i="17"/>
  <c r="E613" i="17"/>
  <c r="E614" i="17"/>
  <c r="E615" i="17"/>
  <c r="E616" i="17"/>
  <c r="E617" i="17"/>
  <c r="E618" i="17"/>
  <c r="E619" i="17"/>
  <c r="E620" i="17"/>
  <c r="E621" i="17"/>
  <c r="E622" i="17"/>
  <c r="E623" i="17"/>
  <c r="E624" i="17"/>
  <c r="E625" i="17"/>
  <c r="E626" i="17"/>
  <c r="E627" i="17"/>
  <c r="E628" i="17"/>
  <c r="E629" i="17"/>
  <c r="E630" i="17"/>
  <c r="E631" i="17"/>
  <c r="E632" i="17"/>
  <c r="E633" i="17"/>
  <c r="E634" i="17"/>
  <c r="E635" i="17"/>
  <c r="E636" i="17"/>
  <c r="E637" i="17"/>
  <c r="E638" i="17"/>
  <c r="E639" i="17"/>
  <c r="E640" i="17"/>
  <c r="E641" i="17"/>
  <c r="E642" i="17"/>
  <c r="E643" i="17"/>
  <c r="E644" i="17"/>
  <c r="E645" i="17"/>
  <c r="E646" i="17"/>
  <c r="E647" i="17"/>
  <c r="E648" i="17"/>
  <c r="E649" i="17"/>
  <c r="E650" i="17"/>
  <c r="E651" i="17"/>
  <c r="E652" i="17"/>
  <c r="E653" i="17"/>
  <c r="E654" i="17"/>
  <c r="E655" i="17"/>
  <c r="E656" i="17"/>
  <c r="E657" i="17"/>
  <c r="E658" i="17"/>
  <c r="E659" i="17"/>
  <c r="E660" i="17"/>
  <c r="E661" i="17"/>
  <c r="E662" i="17"/>
  <c r="E663" i="17"/>
  <c r="E664" i="17"/>
  <c r="E665" i="17"/>
  <c r="E666" i="17"/>
  <c r="E667" i="17"/>
  <c r="E668" i="17"/>
  <c r="E669" i="17"/>
  <c r="E670" i="17"/>
  <c r="E671" i="17"/>
  <c r="E672" i="17"/>
  <c r="E673" i="17"/>
  <c r="E674" i="17"/>
  <c r="E675" i="17"/>
  <c r="E676" i="17"/>
  <c r="E677" i="17"/>
  <c r="E678" i="17"/>
  <c r="E679" i="17"/>
  <c r="E680" i="17"/>
  <c r="E681" i="17"/>
  <c r="E682" i="17"/>
  <c r="E683" i="17"/>
  <c r="E684" i="17"/>
  <c r="E685" i="17"/>
  <c r="E686" i="17"/>
  <c r="E687" i="17"/>
  <c r="E688" i="17"/>
  <c r="E689" i="17"/>
  <c r="E690" i="17"/>
  <c r="E691" i="17"/>
  <c r="E692" i="17"/>
  <c r="E693" i="17"/>
  <c r="E694" i="17"/>
  <c r="E695" i="17"/>
  <c r="E696" i="17"/>
  <c r="E697" i="17"/>
  <c r="E698" i="17"/>
  <c r="E699" i="17"/>
  <c r="E700" i="17"/>
  <c r="E701" i="17"/>
  <c r="E702" i="17"/>
  <c r="E703" i="17"/>
  <c r="E704" i="17"/>
  <c r="E705" i="17"/>
  <c r="E706" i="17"/>
  <c r="E707" i="17"/>
  <c r="E708" i="17"/>
  <c r="E709" i="17"/>
  <c r="E710" i="17"/>
  <c r="E711" i="17"/>
  <c r="E712" i="17"/>
  <c r="E713" i="17"/>
  <c r="E714" i="17"/>
  <c r="E715" i="17"/>
  <c r="E716" i="17"/>
  <c r="E717" i="17"/>
  <c r="E718" i="17"/>
  <c r="E719" i="17"/>
  <c r="E720" i="17"/>
  <c r="E721" i="17"/>
  <c r="E722" i="17"/>
  <c r="E723" i="17"/>
  <c r="E724" i="17"/>
  <c r="E725" i="17"/>
  <c r="E726" i="17"/>
  <c r="E727" i="17"/>
  <c r="E728" i="17"/>
  <c r="E729" i="17"/>
  <c r="E730" i="17"/>
  <c r="E731" i="17"/>
  <c r="E732" i="17"/>
  <c r="E733" i="17"/>
  <c r="E734" i="17"/>
  <c r="E735" i="17"/>
  <c r="E736" i="17"/>
  <c r="E737" i="17"/>
  <c r="E738" i="17"/>
  <c r="E739" i="17"/>
  <c r="E740" i="17"/>
  <c r="E741" i="17"/>
  <c r="E742" i="17"/>
  <c r="E743" i="17"/>
  <c r="E744" i="17"/>
  <c r="E745" i="17"/>
  <c r="E746" i="17"/>
  <c r="E747" i="17"/>
  <c r="E748" i="17"/>
  <c r="E749" i="17"/>
  <c r="E750" i="17"/>
  <c r="E751" i="17"/>
  <c r="E752" i="17"/>
  <c r="E753" i="17"/>
  <c r="E754" i="17"/>
  <c r="E755" i="17"/>
  <c r="E756" i="17"/>
  <c r="E757" i="17"/>
  <c r="E758" i="17"/>
  <c r="E759" i="17"/>
  <c r="E760" i="17"/>
  <c r="E761" i="17"/>
  <c r="E762" i="17"/>
  <c r="E763" i="17"/>
  <c r="E764" i="17"/>
  <c r="E765" i="17"/>
  <c r="E766" i="17"/>
  <c r="E767" i="17"/>
  <c r="E768" i="17"/>
  <c r="E769" i="17"/>
  <c r="E770" i="17"/>
  <c r="E771" i="17"/>
  <c r="E772" i="17"/>
  <c r="E773" i="17"/>
  <c r="E774" i="17"/>
  <c r="E775" i="17"/>
  <c r="E776" i="17"/>
  <c r="E777" i="17"/>
  <c r="E778" i="17"/>
  <c r="E779" i="17"/>
  <c r="E780" i="17"/>
  <c r="E781" i="17"/>
  <c r="E782" i="17"/>
  <c r="E783" i="17"/>
  <c r="E784" i="17"/>
  <c r="E785" i="17"/>
  <c r="E786" i="17"/>
  <c r="E787" i="17"/>
  <c r="E788" i="17"/>
  <c r="E789" i="17"/>
  <c r="E790" i="17"/>
  <c r="E791" i="17"/>
  <c r="E792" i="17"/>
  <c r="E793" i="17"/>
  <c r="E794" i="17"/>
  <c r="E795" i="17"/>
  <c r="E796" i="17"/>
  <c r="E797" i="17"/>
  <c r="E798" i="17"/>
  <c r="E799" i="17"/>
  <c r="E800" i="17"/>
  <c r="E801" i="17"/>
  <c r="E802" i="17"/>
  <c r="E803" i="17"/>
  <c r="E804" i="17"/>
  <c r="E805" i="17"/>
  <c r="E806" i="17"/>
  <c r="E807" i="17"/>
  <c r="E808" i="17"/>
  <c r="E809" i="17"/>
  <c r="E810" i="17"/>
  <c r="E811" i="17"/>
  <c r="E812" i="17"/>
  <c r="E813" i="17"/>
  <c r="E814" i="17"/>
  <c r="E815" i="17"/>
  <c r="E816" i="17"/>
  <c r="E817" i="17"/>
  <c r="E818" i="17"/>
  <c r="E819" i="17"/>
  <c r="E820" i="17"/>
  <c r="E821" i="17"/>
  <c r="E822" i="17"/>
  <c r="E823" i="17"/>
  <c r="E824" i="17"/>
  <c r="E825" i="17"/>
  <c r="E826" i="17"/>
  <c r="E827" i="17"/>
  <c r="E828" i="17"/>
  <c r="E829" i="17"/>
  <c r="E830" i="17"/>
  <c r="E831" i="17"/>
  <c r="E832" i="17"/>
  <c r="E833" i="17"/>
  <c r="E834" i="17"/>
  <c r="E835" i="17"/>
  <c r="E836" i="17"/>
  <c r="E837" i="17"/>
  <c r="E838" i="17"/>
  <c r="E839" i="17"/>
  <c r="E840" i="17"/>
  <c r="E841" i="17"/>
  <c r="E842" i="17"/>
  <c r="E843" i="17"/>
  <c r="E844" i="17"/>
  <c r="E845" i="17"/>
  <c r="E846" i="17"/>
  <c r="E847" i="17"/>
  <c r="E848" i="17"/>
  <c r="E849" i="17"/>
  <c r="E850" i="17"/>
  <c r="E851" i="17"/>
  <c r="E852" i="17"/>
  <c r="E853" i="17"/>
  <c r="E854" i="17"/>
  <c r="E855" i="17"/>
  <c r="E856" i="17"/>
  <c r="E857" i="17"/>
  <c r="E858" i="17"/>
  <c r="E859" i="17"/>
  <c r="E860" i="17"/>
  <c r="E861" i="17"/>
  <c r="E862" i="17"/>
  <c r="E863" i="17"/>
  <c r="E864" i="17"/>
  <c r="E865" i="17"/>
  <c r="E866" i="17"/>
  <c r="E867" i="17"/>
  <c r="E868" i="17"/>
  <c r="E869" i="17"/>
  <c r="E870" i="17"/>
  <c r="E871" i="17"/>
  <c r="E872" i="17"/>
  <c r="E873" i="17"/>
  <c r="E874" i="17"/>
  <c r="E875" i="17"/>
  <c r="E876" i="17"/>
  <c r="E877" i="17"/>
  <c r="E878" i="17"/>
  <c r="E879" i="17"/>
  <c r="E880" i="17"/>
  <c r="E881" i="17"/>
  <c r="E882" i="17"/>
  <c r="E883" i="17"/>
  <c r="E884" i="17"/>
  <c r="E885" i="17"/>
  <c r="E886" i="17"/>
  <c r="E887" i="17"/>
  <c r="E888" i="17"/>
  <c r="E889" i="17"/>
  <c r="E890" i="17"/>
  <c r="E891" i="17"/>
  <c r="E892" i="17"/>
  <c r="E893" i="17"/>
  <c r="E894" i="17"/>
  <c r="E895" i="17"/>
  <c r="E896" i="17"/>
  <c r="E897" i="17"/>
  <c r="E898" i="17"/>
  <c r="E899" i="17"/>
  <c r="E900" i="17"/>
  <c r="E901" i="17"/>
  <c r="E902" i="17"/>
  <c r="E903" i="17"/>
  <c r="E904" i="17"/>
  <c r="E905" i="17"/>
  <c r="E906" i="17"/>
  <c r="E907" i="17"/>
  <c r="E908" i="17"/>
  <c r="E909" i="17"/>
  <c r="E910" i="17"/>
  <c r="E911" i="17"/>
  <c r="E912" i="17"/>
  <c r="E913" i="17"/>
  <c r="E914" i="17"/>
  <c r="E915" i="17"/>
  <c r="E916" i="17"/>
  <c r="E917" i="17"/>
  <c r="E918" i="17"/>
  <c r="E919" i="17"/>
  <c r="E920" i="17"/>
  <c r="E921" i="17"/>
  <c r="E922" i="17"/>
  <c r="E923" i="17"/>
  <c r="E924" i="17"/>
  <c r="E925" i="17"/>
  <c r="E926" i="17"/>
  <c r="E927" i="17"/>
  <c r="E928" i="17"/>
  <c r="E929" i="17"/>
  <c r="E930" i="17"/>
  <c r="E931" i="17"/>
  <c r="E932" i="17"/>
  <c r="E933" i="17"/>
  <c r="E934" i="17"/>
  <c r="E935" i="17"/>
  <c r="E936" i="17"/>
  <c r="E937" i="17"/>
  <c r="E938" i="17"/>
  <c r="E939" i="17"/>
  <c r="E940" i="17"/>
  <c r="E941" i="17"/>
  <c r="E942" i="17"/>
  <c r="E943" i="17"/>
  <c r="E944" i="17"/>
  <c r="E945" i="17"/>
  <c r="E946" i="17"/>
  <c r="E947" i="17"/>
  <c r="E948" i="17"/>
  <c r="E949" i="17"/>
  <c r="E950" i="17"/>
  <c r="E951" i="17"/>
  <c r="E952" i="17"/>
  <c r="E953" i="17"/>
  <c r="E954" i="17"/>
  <c r="E955" i="17"/>
  <c r="E956" i="17"/>
  <c r="E957" i="17"/>
  <c r="E958" i="17"/>
  <c r="E959" i="17"/>
  <c r="E960" i="17"/>
  <c r="E961" i="17"/>
  <c r="E962" i="17"/>
  <c r="E963" i="17"/>
  <c r="E964" i="17"/>
  <c r="E965" i="17"/>
  <c r="E966" i="17"/>
  <c r="E967" i="17"/>
  <c r="E968" i="17"/>
  <c r="E969" i="17"/>
  <c r="E970" i="17"/>
  <c r="E971" i="17"/>
  <c r="E972" i="17"/>
  <c r="E973" i="17"/>
  <c r="E974" i="17"/>
  <c r="E975" i="17"/>
  <c r="E976" i="17"/>
  <c r="E977" i="17"/>
  <c r="E978" i="17"/>
  <c r="E979" i="17"/>
  <c r="E980" i="17"/>
  <c r="E981" i="17"/>
  <c r="E982" i="17"/>
  <c r="E983" i="17"/>
  <c r="E984" i="17"/>
  <c r="E985" i="17"/>
  <c r="E986" i="17"/>
  <c r="E987" i="17"/>
  <c r="E988" i="17"/>
  <c r="E989" i="17"/>
  <c r="E990" i="17"/>
  <c r="E991" i="17"/>
  <c r="E992" i="17"/>
  <c r="E993" i="17"/>
  <c r="E994" i="17"/>
  <c r="E995" i="17"/>
  <c r="E996" i="17"/>
  <c r="E997" i="17"/>
  <c r="E998" i="17"/>
  <c r="E999" i="17"/>
  <c r="E1000" i="17"/>
  <c r="E1001"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J2" i="17"/>
  <c r="J3" i="17"/>
  <c r="J4" i="17"/>
  <c r="J5" i="17"/>
  <c r="J6" i="17"/>
  <c r="J7" i="17"/>
  <c r="J8" i="17"/>
  <c r="J9" i="17"/>
  <c r="J10" i="17"/>
  <c r="J11" i="17"/>
  <c r="J12" i="17"/>
  <c r="J13" i="17"/>
  <c r="J14" i="17"/>
  <c r="J15" i="17"/>
  <c r="J16" i="17"/>
  <c r="J17" i="17"/>
  <c r="J18" i="17"/>
  <c r="J19" i="17"/>
  <c r="J20" i="17"/>
  <c r="J21" i="17"/>
  <c r="J22" i="17"/>
  <c r="J23" i="17"/>
  <c r="J24" i="17"/>
  <c r="J25" i="17"/>
  <c r="J26" i="17"/>
  <c r="J27" i="17"/>
  <c r="J28" i="17"/>
  <c r="J29" i="17"/>
  <c r="J30" i="17"/>
  <c r="J31" i="17"/>
  <c r="J32" i="17"/>
  <c r="J33" i="17"/>
  <c r="J34" i="17"/>
  <c r="J35" i="17"/>
  <c r="J36" i="17"/>
  <c r="J37" i="17"/>
  <c r="J38" i="17"/>
  <c r="J39" i="17"/>
  <c r="J40" i="17"/>
  <c r="J41" i="17"/>
  <c r="J42" i="17"/>
  <c r="J43" i="17"/>
  <c r="J44" i="17"/>
  <c r="J45" i="17"/>
  <c r="J46" i="17"/>
  <c r="J47" i="17"/>
  <c r="J48" i="17"/>
  <c r="J49" i="17"/>
  <c r="J50" i="17"/>
  <c r="J51" i="17"/>
  <c r="J52" i="17"/>
  <c r="J53" i="17"/>
  <c r="J54" i="17"/>
  <c r="J55" i="17"/>
  <c r="J56" i="17"/>
  <c r="J57" i="17"/>
  <c r="J58" i="17"/>
  <c r="J59" i="17"/>
  <c r="J60" i="17"/>
  <c r="J61" i="17"/>
  <c r="J62" i="17"/>
  <c r="J63" i="17"/>
  <c r="J64" i="17"/>
  <c r="J65" i="17"/>
  <c r="J66" i="17"/>
  <c r="J67" i="17"/>
  <c r="J68" i="17"/>
  <c r="J69" i="17"/>
  <c r="J70" i="17"/>
  <c r="J71" i="17"/>
  <c r="J72" i="17"/>
  <c r="J73" i="17"/>
  <c r="J74" i="17"/>
  <c r="J75" i="17"/>
  <c r="J76" i="17"/>
  <c r="J77" i="17"/>
  <c r="J78" i="17"/>
  <c r="J79" i="17"/>
  <c r="J80" i="17"/>
  <c r="J81" i="17"/>
  <c r="J82" i="17"/>
  <c r="J83" i="17"/>
  <c r="J84" i="17"/>
  <c r="J85" i="17"/>
  <c r="J86" i="17"/>
  <c r="J87" i="17"/>
  <c r="J88" i="17"/>
  <c r="J89" i="17"/>
  <c r="J90" i="17"/>
  <c r="J91" i="17"/>
  <c r="J92" i="17"/>
  <c r="J93" i="17"/>
  <c r="J94" i="17"/>
  <c r="J95" i="17"/>
  <c r="J96" i="17"/>
  <c r="J97" i="17"/>
  <c r="J98" i="17"/>
  <c r="J99" i="17"/>
  <c r="J100" i="17"/>
  <c r="J101" i="17"/>
  <c r="J102" i="17"/>
  <c r="J103" i="17"/>
  <c r="J104" i="17"/>
  <c r="J105" i="17"/>
  <c r="J106" i="17"/>
  <c r="J107" i="17"/>
  <c r="J108" i="17"/>
  <c r="J109" i="17"/>
  <c r="J110" i="17"/>
  <c r="J111" i="17"/>
  <c r="J112" i="17"/>
  <c r="J113" i="17"/>
  <c r="J114" i="17"/>
  <c r="J115" i="17"/>
  <c r="J116" i="17"/>
  <c r="J117" i="17"/>
  <c r="J118" i="17"/>
  <c r="J119" i="17"/>
  <c r="J120" i="17"/>
  <c r="J121" i="17"/>
  <c r="J122" i="17"/>
  <c r="J123" i="17"/>
  <c r="J124" i="17"/>
  <c r="J125" i="17"/>
  <c r="J126" i="17"/>
  <c r="J127" i="17"/>
  <c r="J128" i="17"/>
  <c r="J129" i="17"/>
  <c r="J130" i="17"/>
  <c r="J131" i="17"/>
  <c r="J132" i="17"/>
  <c r="J133" i="17"/>
  <c r="J134" i="17"/>
  <c r="J135" i="17"/>
  <c r="J136" i="17"/>
  <c r="J137" i="17"/>
  <c r="J138" i="17"/>
  <c r="J139" i="17"/>
  <c r="J140" i="17"/>
  <c r="J141" i="17"/>
  <c r="J142" i="17"/>
  <c r="J143" i="17"/>
  <c r="J144" i="17"/>
  <c r="J145" i="17"/>
  <c r="J146" i="17"/>
  <c r="J147" i="17"/>
  <c r="J148" i="17"/>
  <c r="J149" i="17"/>
  <c r="J150" i="17"/>
  <c r="J151" i="17"/>
  <c r="J152" i="17"/>
  <c r="J153" i="17"/>
  <c r="J154" i="17"/>
  <c r="J155" i="17"/>
  <c r="J156" i="17"/>
  <c r="J157" i="17"/>
  <c r="J158" i="17"/>
  <c r="J159" i="17"/>
  <c r="J160" i="17"/>
  <c r="J161" i="17"/>
  <c r="J162" i="17"/>
  <c r="J163" i="17"/>
  <c r="J164" i="17"/>
  <c r="J165" i="17"/>
  <c r="J166" i="17"/>
  <c r="J167" i="17"/>
  <c r="J168" i="17"/>
  <c r="J169" i="17"/>
  <c r="J170" i="17"/>
  <c r="J171" i="17"/>
  <c r="J172" i="17"/>
  <c r="J173" i="17"/>
  <c r="J174" i="17"/>
  <c r="J175" i="17"/>
  <c r="J176" i="17"/>
  <c r="J177" i="17"/>
  <c r="J178" i="17"/>
  <c r="J179" i="17"/>
  <c r="J180" i="17"/>
  <c r="J181" i="17"/>
  <c r="J182" i="17"/>
  <c r="J183" i="17"/>
  <c r="J184" i="17"/>
  <c r="J185" i="17"/>
  <c r="J186" i="17"/>
  <c r="J187" i="17"/>
  <c r="J188" i="17"/>
  <c r="J189" i="17"/>
  <c r="J190" i="17"/>
  <c r="J191" i="17"/>
  <c r="J192" i="17"/>
  <c r="J193" i="17"/>
  <c r="J194" i="17"/>
  <c r="J195" i="17"/>
  <c r="J196" i="17"/>
  <c r="J197" i="17"/>
  <c r="J198" i="17"/>
  <c r="J199" i="17"/>
  <c r="J200" i="17"/>
  <c r="J201" i="17"/>
  <c r="J202" i="17"/>
  <c r="J203" i="17"/>
  <c r="J204" i="17"/>
  <c r="J205" i="17"/>
  <c r="J206" i="17"/>
  <c r="J207" i="17"/>
  <c r="J208" i="17"/>
  <c r="J209" i="17"/>
  <c r="J210" i="17"/>
  <c r="J211" i="17"/>
  <c r="J212" i="17"/>
  <c r="J213" i="17"/>
  <c r="J214" i="17"/>
  <c r="J215" i="17"/>
  <c r="J216" i="17"/>
  <c r="J217" i="17"/>
  <c r="J218" i="17"/>
  <c r="J219" i="17"/>
  <c r="J220" i="17"/>
  <c r="J221" i="17"/>
  <c r="J222" i="17"/>
  <c r="J223" i="17"/>
  <c r="J224" i="17"/>
  <c r="J225" i="17"/>
  <c r="J226" i="17"/>
  <c r="J227" i="17"/>
  <c r="J228" i="17"/>
  <c r="J229" i="17"/>
  <c r="J230" i="17"/>
  <c r="J231" i="17"/>
  <c r="J232" i="17"/>
  <c r="J233" i="17"/>
  <c r="J234" i="17"/>
  <c r="J235" i="17"/>
  <c r="J236" i="17"/>
  <c r="J237" i="17"/>
  <c r="J238" i="17"/>
  <c r="J239" i="17"/>
  <c r="J240" i="17"/>
  <c r="J241" i="17"/>
  <c r="J242" i="17"/>
  <c r="J243" i="17"/>
  <c r="J244" i="17"/>
  <c r="J245" i="17"/>
  <c r="J246" i="17"/>
  <c r="J247" i="17"/>
  <c r="J248" i="17"/>
  <c r="J249" i="17"/>
  <c r="J250" i="17"/>
  <c r="J251" i="17"/>
  <c r="J252" i="17"/>
  <c r="J253" i="17"/>
  <c r="J254" i="17"/>
  <c r="J255" i="17"/>
  <c r="J256" i="17"/>
  <c r="J257" i="17"/>
  <c r="J258" i="17"/>
  <c r="J259" i="17"/>
  <c r="J260" i="17"/>
  <c r="J261" i="17"/>
  <c r="J262" i="17"/>
  <c r="J263" i="17"/>
  <c r="J264" i="17"/>
  <c r="J265" i="17"/>
  <c r="J266" i="17"/>
  <c r="J267" i="17"/>
  <c r="J268" i="17"/>
  <c r="J269" i="17"/>
  <c r="J270" i="17"/>
  <c r="J271" i="17"/>
  <c r="J272" i="17"/>
  <c r="J273" i="17"/>
  <c r="J274" i="17"/>
  <c r="J275" i="17"/>
  <c r="J276" i="17"/>
  <c r="J277" i="17"/>
  <c r="J278" i="17"/>
  <c r="J279" i="17"/>
  <c r="J280" i="17"/>
  <c r="J281" i="17"/>
  <c r="J282" i="17"/>
  <c r="J283" i="17"/>
  <c r="J284" i="17"/>
  <c r="J285" i="17"/>
  <c r="J286" i="17"/>
  <c r="J287" i="17"/>
  <c r="J288" i="17"/>
  <c r="J289" i="17"/>
  <c r="J290" i="17"/>
  <c r="J291" i="17"/>
  <c r="J292" i="17"/>
  <c r="J293" i="17"/>
  <c r="J294" i="17"/>
  <c r="J295" i="17"/>
  <c r="J296" i="17"/>
  <c r="J297" i="17"/>
  <c r="J298" i="17"/>
  <c r="J299" i="17"/>
  <c r="J300" i="17"/>
  <c r="J301" i="17"/>
  <c r="J302" i="17"/>
  <c r="J303" i="17"/>
  <c r="J304" i="17"/>
  <c r="J305" i="17"/>
  <c r="J306" i="17"/>
  <c r="J307" i="17"/>
  <c r="J308" i="17"/>
  <c r="J309" i="17"/>
  <c r="J310" i="17"/>
  <c r="J311" i="17"/>
  <c r="J312" i="17"/>
  <c r="J313" i="17"/>
  <c r="J314" i="17"/>
  <c r="J315" i="17"/>
  <c r="J316" i="17"/>
  <c r="J317" i="17"/>
  <c r="J318" i="17"/>
  <c r="J319" i="17"/>
  <c r="J320" i="17"/>
  <c r="J321" i="17"/>
  <c r="J322" i="17"/>
  <c r="J323" i="17"/>
  <c r="J324" i="17"/>
  <c r="J325" i="17"/>
  <c r="J326" i="17"/>
  <c r="J327" i="17"/>
  <c r="J328" i="17"/>
  <c r="J329" i="17"/>
  <c r="J330" i="17"/>
  <c r="J331" i="17"/>
  <c r="J332" i="17"/>
  <c r="J333" i="17"/>
  <c r="J334" i="17"/>
  <c r="J335" i="17"/>
  <c r="J336" i="17"/>
  <c r="J337" i="17"/>
  <c r="J338" i="17"/>
  <c r="J339" i="17"/>
  <c r="J340" i="17"/>
  <c r="J341" i="17"/>
  <c r="J342" i="17"/>
  <c r="J343" i="17"/>
  <c r="J344" i="17"/>
  <c r="J345" i="17"/>
  <c r="J346" i="17"/>
  <c r="J347" i="17"/>
  <c r="J348" i="17"/>
  <c r="J349" i="17"/>
  <c r="J350" i="17"/>
  <c r="J351" i="17"/>
  <c r="J352" i="17"/>
  <c r="J353" i="17"/>
  <c r="J354" i="17"/>
  <c r="J355" i="17"/>
  <c r="J356" i="17"/>
  <c r="J357" i="17"/>
  <c r="J358" i="17"/>
  <c r="J359" i="17"/>
  <c r="J360" i="17"/>
  <c r="J361" i="17"/>
  <c r="J362" i="17"/>
  <c r="J363" i="17"/>
  <c r="J364" i="17"/>
  <c r="J365" i="17"/>
  <c r="J366" i="17"/>
  <c r="J367" i="17"/>
  <c r="J368" i="17"/>
  <c r="J369" i="17"/>
  <c r="J370" i="17"/>
  <c r="J371" i="17"/>
  <c r="J372" i="17"/>
  <c r="J373" i="17"/>
  <c r="J374" i="17"/>
  <c r="J375" i="17"/>
  <c r="J376" i="17"/>
  <c r="J377" i="17"/>
  <c r="J378" i="17"/>
  <c r="J379" i="17"/>
  <c r="J380" i="17"/>
  <c r="J381" i="17"/>
  <c r="J382" i="17"/>
  <c r="J383" i="17"/>
  <c r="J384" i="17"/>
  <c r="J385" i="17"/>
  <c r="J386" i="17"/>
  <c r="J387" i="17"/>
  <c r="J388" i="17"/>
  <c r="J389" i="17"/>
  <c r="J390" i="17"/>
  <c r="J391" i="17"/>
  <c r="J392" i="17"/>
  <c r="J393" i="17"/>
  <c r="J394" i="17"/>
  <c r="J395" i="17"/>
  <c r="J396" i="17"/>
  <c r="J397" i="17"/>
  <c r="J398" i="17"/>
  <c r="J399" i="17"/>
  <c r="J400" i="17"/>
  <c r="J401" i="17"/>
  <c r="J402" i="17"/>
  <c r="J403" i="17"/>
  <c r="J404" i="17"/>
  <c r="J405" i="17"/>
  <c r="J406" i="17"/>
  <c r="J407" i="17"/>
  <c r="J408" i="17"/>
  <c r="J409" i="17"/>
  <c r="J410" i="17"/>
  <c r="J411" i="17"/>
  <c r="J412" i="17"/>
  <c r="J413" i="17"/>
  <c r="J414" i="17"/>
  <c r="J415" i="17"/>
  <c r="J416" i="17"/>
  <c r="J417" i="17"/>
  <c r="J418" i="17"/>
  <c r="J419" i="17"/>
  <c r="J420" i="17"/>
  <c r="J421" i="17"/>
  <c r="J422" i="17"/>
  <c r="J423" i="17"/>
  <c r="J424" i="17"/>
  <c r="J425" i="17"/>
  <c r="J426" i="17"/>
  <c r="J427" i="17"/>
  <c r="J428" i="17"/>
  <c r="J429" i="17"/>
  <c r="J430" i="17"/>
  <c r="J431" i="17"/>
  <c r="J432" i="17"/>
  <c r="J433" i="17"/>
  <c r="J434" i="17"/>
  <c r="J435" i="17"/>
  <c r="J436" i="17"/>
  <c r="J437" i="17"/>
  <c r="J438" i="17"/>
  <c r="J439" i="17"/>
  <c r="J440" i="17"/>
  <c r="J441" i="17"/>
  <c r="J442" i="17"/>
  <c r="J443" i="17"/>
  <c r="J444" i="17"/>
  <c r="J445" i="17"/>
  <c r="J446" i="17"/>
  <c r="J447" i="17"/>
  <c r="J448" i="17"/>
  <c r="J449" i="17"/>
  <c r="J450" i="17"/>
  <c r="J451" i="17"/>
  <c r="J452" i="17"/>
  <c r="J453" i="17"/>
  <c r="J454" i="17"/>
  <c r="J455" i="17"/>
  <c r="J456" i="17"/>
  <c r="J457" i="17"/>
  <c r="J458" i="17"/>
  <c r="J459" i="17"/>
  <c r="J460" i="17"/>
  <c r="J461" i="17"/>
  <c r="J462" i="17"/>
  <c r="J463" i="17"/>
  <c r="J464" i="17"/>
  <c r="J465" i="17"/>
  <c r="J466" i="17"/>
  <c r="J467" i="17"/>
  <c r="J468" i="17"/>
  <c r="J469" i="17"/>
  <c r="J470" i="17"/>
  <c r="J471" i="17"/>
  <c r="J472" i="17"/>
  <c r="J473" i="17"/>
  <c r="J474" i="17"/>
  <c r="J475" i="17"/>
  <c r="J476" i="17"/>
  <c r="J477" i="17"/>
  <c r="J478" i="17"/>
  <c r="J479" i="17"/>
  <c r="J480" i="17"/>
  <c r="J481" i="17"/>
  <c r="J482" i="17"/>
  <c r="J483" i="17"/>
  <c r="J484" i="17"/>
  <c r="J485" i="17"/>
  <c r="J486" i="17"/>
  <c r="J487" i="17"/>
  <c r="J488" i="17"/>
  <c r="J489" i="17"/>
  <c r="J490" i="17"/>
  <c r="J491" i="17"/>
  <c r="J492" i="17"/>
  <c r="J493" i="17"/>
  <c r="J494" i="17"/>
  <c r="J495" i="17"/>
  <c r="J496" i="17"/>
  <c r="J497" i="17"/>
  <c r="J498" i="17"/>
  <c r="J499" i="17"/>
  <c r="J500" i="17"/>
  <c r="J501" i="17"/>
  <c r="J502" i="17"/>
  <c r="J503" i="17"/>
  <c r="J504" i="17"/>
  <c r="J505" i="17"/>
  <c r="J506" i="17"/>
  <c r="J507" i="17"/>
  <c r="J508" i="17"/>
  <c r="J509" i="17"/>
  <c r="J510" i="17"/>
  <c r="J511" i="17"/>
  <c r="J512" i="17"/>
  <c r="J513" i="17"/>
  <c r="J514" i="17"/>
  <c r="J515" i="17"/>
  <c r="J516" i="17"/>
  <c r="J517" i="17"/>
  <c r="J518" i="17"/>
  <c r="J519" i="17"/>
  <c r="J520" i="17"/>
  <c r="J521" i="17"/>
  <c r="J522" i="17"/>
  <c r="J523" i="17"/>
  <c r="J524" i="17"/>
  <c r="J525" i="17"/>
  <c r="J526" i="17"/>
  <c r="J527" i="17"/>
  <c r="J528" i="17"/>
  <c r="J529" i="17"/>
  <c r="J530" i="17"/>
  <c r="J531" i="17"/>
  <c r="J532" i="17"/>
  <c r="J533" i="17"/>
  <c r="J534" i="17"/>
  <c r="J535" i="17"/>
  <c r="J536" i="17"/>
  <c r="J537" i="17"/>
  <c r="J538" i="17"/>
  <c r="J539" i="17"/>
  <c r="J540" i="17"/>
  <c r="J541" i="17"/>
  <c r="J542" i="17"/>
  <c r="J543" i="17"/>
  <c r="J544" i="17"/>
  <c r="J545" i="17"/>
  <c r="J546" i="17"/>
  <c r="J547" i="17"/>
  <c r="J548" i="17"/>
  <c r="J549" i="17"/>
  <c r="J550" i="17"/>
  <c r="J551" i="17"/>
  <c r="J552" i="17"/>
  <c r="J553" i="17"/>
  <c r="J554" i="17"/>
  <c r="J555" i="17"/>
  <c r="J556" i="17"/>
  <c r="J557" i="17"/>
  <c r="J558" i="17"/>
  <c r="J559" i="17"/>
  <c r="J560" i="17"/>
  <c r="J561" i="17"/>
  <c r="J562" i="17"/>
  <c r="J563" i="17"/>
  <c r="J564" i="17"/>
  <c r="J565" i="17"/>
  <c r="J566" i="17"/>
  <c r="J567" i="17"/>
  <c r="J568" i="17"/>
  <c r="J569" i="17"/>
  <c r="J570" i="17"/>
  <c r="J571" i="17"/>
  <c r="J572" i="17"/>
  <c r="J573" i="17"/>
  <c r="J574" i="17"/>
  <c r="J575" i="17"/>
  <c r="J576" i="17"/>
  <c r="J577" i="17"/>
  <c r="J578" i="17"/>
  <c r="J579" i="17"/>
  <c r="J580" i="17"/>
  <c r="J581" i="17"/>
  <c r="J582" i="17"/>
  <c r="J583" i="17"/>
  <c r="J584" i="17"/>
  <c r="J585" i="17"/>
  <c r="J586" i="17"/>
  <c r="J587" i="17"/>
  <c r="J588" i="17"/>
  <c r="J589" i="17"/>
  <c r="J590" i="17"/>
  <c r="J591" i="17"/>
  <c r="J592" i="17"/>
  <c r="J593" i="17"/>
  <c r="J594" i="17"/>
  <c r="J595" i="17"/>
  <c r="J596" i="17"/>
  <c r="J597" i="17"/>
  <c r="J598" i="17"/>
  <c r="J599" i="17"/>
  <c r="J600" i="17"/>
  <c r="J601" i="17"/>
  <c r="J602" i="17"/>
  <c r="J603" i="17"/>
  <c r="J604" i="17"/>
  <c r="J605" i="17"/>
  <c r="J606" i="17"/>
  <c r="J607" i="17"/>
  <c r="J608" i="17"/>
  <c r="J609" i="17"/>
  <c r="J610" i="17"/>
  <c r="J611" i="17"/>
  <c r="J612" i="17"/>
  <c r="J613" i="17"/>
  <c r="J614" i="17"/>
  <c r="J615" i="17"/>
  <c r="J616" i="17"/>
  <c r="J617" i="17"/>
  <c r="J618" i="17"/>
  <c r="J619" i="17"/>
  <c r="J620" i="17"/>
  <c r="J621" i="17"/>
  <c r="J622" i="17"/>
  <c r="J623" i="17"/>
  <c r="J624" i="17"/>
  <c r="J625" i="17"/>
  <c r="J626" i="17"/>
  <c r="J627" i="17"/>
  <c r="J628" i="17"/>
  <c r="J629" i="17"/>
  <c r="J630" i="17"/>
  <c r="J631" i="17"/>
  <c r="J632" i="17"/>
  <c r="J633" i="17"/>
  <c r="J634" i="17"/>
  <c r="J635" i="17"/>
  <c r="J636" i="17"/>
  <c r="J637" i="17"/>
  <c r="J638" i="17"/>
  <c r="J639" i="17"/>
  <c r="J640" i="17"/>
  <c r="J641" i="17"/>
  <c r="J642" i="17"/>
  <c r="J643" i="17"/>
  <c r="J644" i="17"/>
  <c r="J645" i="17"/>
  <c r="J646" i="17"/>
  <c r="J647" i="17"/>
  <c r="J648" i="17"/>
  <c r="J649" i="17"/>
  <c r="J650" i="17"/>
  <c r="J651" i="17"/>
  <c r="J652" i="17"/>
  <c r="J653" i="17"/>
  <c r="J654" i="17"/>
  <c r="J655" i="17"/>
  <c r="J656" i="17"/>
  <c r="J657" i="17"/>
  <c r="J658" i="17"/>
  <c r="J659" i="17"/>
  <c r="J660" i="17"/>
  <c r="J661" i="17"/>
  <c r="J662" i="17"/>
  <c r="J663" i="17"/>
  <c r="J664" i="17"/>
  <c r="J665" i="17"/>
  <c r="J666" i="17"/>
  <c r="J667" i="17"/>
  <c r="J668" i="17"/>
  <c r="J669" i="17"/>
  <c r="J670" i="17"/>
  <c r="J671" i="17"/>
  <c r="J672" i="17"/>
  <c r="J673" i="17"/>
  <c r="J674" i="17"/>
  <c r="J675" i="17"/>
  <c r="J676" i="17"/>
  <c r="J677" i="17"/>
  <c r="J678" i="17"/>
  <c r="J679" i="17"/>
  <c r="J680" i="17"/>
  <c r="J681" i="17"/>
  <c r="J682" i="17"/>
  <c r="J683" i="17"/>
  <c r="J684" i="17"/>
  <c r="J685" i="17"/>
  <c r="J686" i="17"/>
  <c r="J687" i="17"/>
  <c r="J688" i="17"/>
  <c r="J689" i="17"/>
  <c r="J690" i="17"/>
  <c r="J691" i="17"/>
  <c r="J692" i="17"/>
  <c r="J693" i="17"/>
  <c r="J694" i="17"/>
  <c r="J695" i="17"/>
  <c r="J696" i="17"/>
  <c r="J697" i="17"/>
  <c r="J698" i="17"/>
  <c r="J699" i="17"/>
  <c r="J700" i="17"/>
  <c r="J701" i="17"/>
  <c r="J702" i="17"/>
  <c r="J703" i="17"/>
  <c r="J704" i="17"/>
  <c r="J705" i="17"/>
  <c r="J706" i="17"/>
  <c r="J707" i="17"/>
  <c r="J708" i="17"/>
  <c r="J709" i="17"/>
  <c r="J710" i="17"/>
  <c r="J711" i="17"/>
  <c r="J712" i="17"/>
  <c r="J713" i="17"/>
  <c r="J714" i="17"/>
  <c r="J715" i="17"/>
  <c r="J716" i="17"/>
  <c r="J717" i="17"/>
  <c r="J718" i="17"/>
  <c r="J719" i="17"/>
  <c r="J720" i="17"/>
  <c r="J721" i="17"/>
  <c r="J722" i="17"/>
  <c r="J723" i="17"/>
  <c r="J724" i="17"/>
  <c r="J725" i="17"/>
  <c r="J726" i="17"/>
  <c r="J727" i="17"/>
  <c r="J728" i="17"/>
  <c r="J729" i="17"/>
  <c r="J730" i="17"/>
  <c r="J731" i="17"/>
  <c r="J732" i="17"/>
  <c r="J733" i="17"/>
  <c r="J734" i="17"/>
  <c r="J735" i="17"/>
  <c r="J736" i="17"/>
  <c r="J737" i="17"/>
  <c r="J738" i="17"/>
  <c r="J739" i="17"/>
  <c r="J740" i="17"/>
  <c r="J741" i="17"/>
  <c r="J742" i="17"/>
  <c r="J743" i="17"/>
  <c r="J744" i="17"/>
  <c r="J745" i="17"/>
  <c r="J746" i="17"/>
  <c r="J747" i="17"/>
  <c r="J748" i="17"/>
  <c r="J749" i="17"/>
  <c r="J750" i="17"/>
  <c r="J751" i="17"/>
  <c r="J752" i="17"/>
  <c r="J753" i="17"/>
  <c r="J754" i="17"/>
  <c r="J755" i="17"/>
  <c r="J756" i="17"/>
  <c r="J757" i="17"/>
  <c r="J758" i="17"/>
  <c r="J759" i="17"/>
  <c r="J760" i="17"/>
  <c r="J761" i="17"/>
  <c r="J762" i="17"/>
  <c r="J763" i="17"/>
  <c r="J764" i="17"/>
  <c r="J765" i="17"/>
  <c r="J766" i="17"/>
  <c r="J767" i="17"/>
  <c r="J768" i="17"/>
  <c r="J769" i="17"/>
  <c r="J770" i="17"/>
  <c r="J771" i="17"/>
  <c r="J772" i="17"/>
  <c r="J773" i="17"/>
  <c r="J774" i="17"/>
  <c r="J775" i="17"/>
  <c r="J776" i="17"/>
  <c r="J777" i="17"/>
  <c r="J778" i="17"/>
  <c r="J779" i="17"/>
  <c r="J780" i="17"/>
  <c r="J781" i="17"/>
  <c r="J782" i="17"/>
  <c r="J783" i="17"/>
  <c r="J784" i="17"/>
  <c r="J785" i="17"/>
  <c r="J786" i="17"/>
  <c r="J787" i="17"/>
  <c r="J788" i="17"/>
  <c r="J789" i="17"/>
  <c r="J790" i="17"/>
  <c r="J791" i="17"/>
  <c r="J792" i="17"/>
  <c r="J793" i="17"/>
  <c r="J794" i="17"/>
  <c r="J795" i="17"/>
  <c r="J796" i="17"/>
  <c r="J797" i="17"/>
  <c r="J798" i="17"/>
  <c r="J799" i="17"/>
  <c r="J800" i="17"/>
  <c r="J801" i="17"/>
  <c r="J802" i="17"/>
  <c r="J803" i="17"/>
  <c r="J804" i="17"/>
  <c r="J805" i="17"/>
  <c r="J806" i="17"/>
  <c r="J807" i="17"/>
  <c r="J808" i="17"/>
  <c r="J809" i="17"/>
  <c r="J810" i="17"/>
  <c r="J811" i="17"/>
  <c r="J812" i="17"/>
  <c r="J813" i="17"/>
  <c r="J814" i="17"/>
  <c r="J815" i="17"/>
  <c r="J816" i="17"/>
  <c r="J817" i="17"/>
  <c r="J818" i="17"/>
  <c r="J819" i="17"/>
  <c r="J820" i="17"/>
  <c r="J821" i="17"/>
  <c r="J822" i="17"/>
  <c r="J823" i="17"/>
  <c r="J824" i="17"/>
  <c r="J825" i="17"/>
  <c r="J826" i="17"/>
  <c r="J827" i="17"/>
  <c r="J828" i="17"/>
  <c r="J829" i="17"/>
  <c r="J830" i="17"/>
  <c r="J831" i="17"/>
  <c r="J832" i="17"/>
  <c r="J833" i="17"/>
  <c r="J834" i="17"/>
  <c r="J835" i="17"/>
  <c r="J836" i="17"/>
  <c r="J837" i="17"/>
  <c r="J838" i="17"/>
  <c r="J839" i="17"/>
  <c r="J840" i="17"/>
  <c r="J841" i="17"/>
  <c r="J842" i="17"/>
  <c r="J843" i="17"/>
  <c r="J844" i="17"/>
  <c r="J845" i="17"/>
  <c r="J846" i="17"/>
  <c r="J847" i="17"/>
  <c r="J848" i="17"/>
  <c r="J849" i="17"/>
  <c r="J850" i="17"/>
  <c r="J851" i="17"/>
  <c r="J852" i="17"/>
  <c r="J853" i="17"/>
  <c r="J854" i="17"/>
  <c r="J855" i="17"/>
  <c r="J856" i="17"/>
  <c r="J857" i="17"/>
  <c r="J858" i="17"/>
  <c r="J859" i="17"/>
  <c r="J860" i="17"/>
  <c r="J861" i="17"/>
  <c r="J862" i="17"/>
  <c r="J863" i="17"/>
  <c r="J864" i="17"/>
  <c r="J865" i="17"/>
  <c r="J866" i="17"/>
  <c r="J867" i="17"/>
  <c r="J868" i="17"/>
  <c r="J869" i="17"/>
  <c r="J870" i="17"/>
  <c r="J871" i="17"/>
  <c r="J872" i="17"/>
  <c r="J873" i="17"/>
  <c r="J874" i="17"/>
  <c r="J875" i="17"/>
  <c r="J876" i="17"/>
  <c r="J877" i="17"/>
  <c r="J878" i="17"/>
  <c r="J879" i="17"/>
  <c r="J880" i="17"/>
  <c r="J881" i="17"/>
  <c r="J882" i="17"/>
  <c r="J883" i="17"/>
  <c r="J884" i="17"/>
  <c r="J885" i="17"/>
  <c r="J886" i="17"/>
  <c r="J887" i="17"/>
  <c r="J888" i="17"/>
  <c r="J889" i="17"/>
  <c r="J890" i="17"/>
  <c r="J891" i="17"/>
  <c r="J892" i="17"/>
  <c r="J893" i="17"/>
  <c r="J894" i="17"/>
  <c r="J895" i="17"/>
  <c r="J896" i="17"/>
  <c r="J897" i="17"/>
  <c r="J898" i="17"/>
  <c r="J899" i="17"/>
  <c r="J900" i="17"/>
  <c r="J901" i="17"/>
  <c r="J902" i="17"/>
  <c r="J903" i="17"/>
  <c r="J904" i="17"/>
  <c r="J905" i="17"/>
  <c r="J906" i="17"/>
  <c r="J907" i="17"/>
  <c r="J908" i="17"/>
  <c r="J909" i="17"/>
  <c r="J910" i="17"/>
  <c r="J911" i="17"/>
  <c r="J912" i="17"/>
  <c r="J913" i="17"/>
  <c r="J914" i="17"/>
  <c r="J915" i="17"/>
  <c r="J916" i="17"/>
  <c r="J917" i="17"/>
  <c r="J918" i="17"/>
  <c r="J919" i="17"/>
  <c r="J920" i="17"/>
  <c r="J921" i="17"/>
  <c r="J922" i="17"/>
  <c r="J923" i="17"/>
  <c r="J924" i="17"/>
  <c r="J925" i="17"/>
  <c r="J926" i="17"/>
  <c r="J927" i="17"/>
  <c r="J928" i="17"/>
  <c r="J929" i="17"/>
  <c r="J930" i="17"/>
  <c r="J931" i="17"/>
  <c r="J932" i="17"/>
  <c r="J933" i="17"/>
  <c r="J934" i="17"/>
  <c r="J935" i="17"/>
  <c r="J936" i="17"/>
  <c r="J937" i="17"/>
  <c r="J938" i="17"/>
  <c r="J939" i="17"/>
  <c r="J940" i="17"/>
  <c r="J941" i="17"/>
  <c r="J942" i="17"/>
  <c r="J943" i="17"/>
  <c r="J944" i="17"/>
  <c r="J945" i="17"/>
  <c r="J946" i="17"/>
  <c r="J947" i="17"/>
  <c r="J948" i="17"/>
  <c r="J949" i="17"/>
  <c r="J950" i="17"/>
  <c r="J951" i="17"/>
  <c r="J952" i="17"/>
  <c r="J953" i="17"/>
  <c r="J954" i="17"/>
  <c r="J955" i="17"/>
  <c r="J956" i="17"/>
  <c r="J957" i="17"/>
  <c r="J958" i="17"/>
  <c r="J959" i="17"/>
  <c r="J960" i="17"/>
  <c r="J961" i="17"/>
  <c r="J962" i="17"/>
  <c r="J963" i="17"/>
  <c r="J964" i="17"/>
  <c r="J965" i="17"/>
  <c r="J966" i="17"/>
  <c r="J967" i="17"/>
  <c r="J968" i="17"/>
  <c r="J969" i="17"/>
  <c r="J970" i="17"/>
  <c r="J971" i="17"/>
  <c r="J972" i="17"/>
  <c r="J973" i="17"/>
  <c r="J974" i="17"/>
  <c r="J975" i="17"/>
  <c r="J976" i="17"/>
  <c r="J977" i="17"/>
  <c r="J978" i="17"/>
  <c r="J979" i="17"/>
  <c r="J980" i="17"/>
  <c r="J981" i="17"/>
  <c r="J982" i="17"/>
  <c r="J983" i="17"/>
  <c r="J984" i="17"/>
  <c r="J985" i="17"/>
  <c r="J986" i="17"/>
  <c r="J987" i="17"/>
  <c r="J988" i="17"/>
  <c r="J989" i="17"/>
  <c r="J990" i="17"/>
  <c r="J991" i="17"/>
  <c r="J992" i="17"/>
  <c r="J993" i="17"/>
  <c r="J994" i="17"/>
  <c r="J995" i="17"/>
  <c r="J996" i="17"/>
  <c r="J997" i="17"/>
  <c r="J998" i="17"/>
  <c r="J999" i="17"/>
  <c r="J1000" i="17"/>
  <c r="J1001" i="17"/>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I2" i="17"/>
  <c r="T2" i="17"/>
  <c r="T3" i="17"/>
  <c r="T4" i="17"/>
  <c r="T5" i="17"/>
  <c r="T6" i="17"/>
  <c r="T7" i="17"/>
  <c r="T8" i="17"/>
  <c r="T9" i="17"/>
  <c r="T10" i="17"/>
  <c r="T11" i="17"/>
  <c r="T12" i="17"/>
  <c r="T13" i="17"/>
  <c r="T14" i="17"/>
  <c r="T15" i="17"/>
  <c r="T16" i="17"/>
  <c r="T17" i="17"/>
  <c r="T18" i="17"/>
  <c r="T19" i="17"/>
  <c r="T20" i="17"/>
  <c r="T21" i="17"/>
  <c r="T22" i="17"/>
  <c r="T23" i="17"/>
  <c r="T24" i="17"/>
  <c r="T25" i="17"/>
  <c r="T26" i="17"/>
  <c r="T27" i="17"/>
  <c r="T28" i="17"/>
  <c r="T29" i="17"/>
  <c r="T30" i="17"/>
  <c r="T31" i="17"/>
  <c r="T32" i="17"/>
  <c r="T33" i="17"/>
  <c r="T34" i="17"/>
  <c r="T35" i="17"/>
  <c r="T36" i="17"/>
  <c r="T37" i="17"/>
  <c r="T38" i="17"/>
  <c r="T39" i="17"/>
  <c r="T40" i="17"/>
  <c r="T41" i="17"/>
  <c r="T42" i="17"/>
  <c r="T43" i="17"/>
  <c r="T44" i="17"/>
  <c r="T45" i="17"/>
  <c r="T46" i="17"/>
  <c r="T47" i="17"/>
  <c r="T48" i="17"/>
  <c r="T49" i="17"/>
  <c r="T50" i="17"/>
  <c r="T51" i="17"/>
  <c r="T52" i="17"/>
  <c r="T53" i="17"/>
  <c r="T54" i="17"/>
  <c r="T55" i="17"/>
  <c r="T56" i="17"/>
  <c r="T57" i="17"/>
  <c r="T58" i="17"/>
  <c r="T59" i="17"/>
  <c r="T60" i="17"/>
  <c r="T61" i="17"/>
  <c r="T62" i="17"/>
  <c r="T63" i="17"/>
  <c r="T64" i="17"/>
  <c r="T65" i="17"/>
  <c r="T66" i="17"/>
  <c r="T67" i="17"/>
  <c r="T68" i="17"/>
  <c r="T69" i="17"/>
  <c r="T70" i="17"/>
  <c r="T71" i="17"/>
  <c r="T72" i="17"/>
  <c r="T73" i="17"/>
  <c r="T74" i="17"/>
  <c r="T75" i="17"/>
  <c r="T76" i="17"/>
  <c r="T77" i="17"/>
  <c r="T78" i="17"/>
  <c r="T79" i="17"/>
  <c r="T80" i="17"/>
  <c r="T81" i="17"/>
  <c r="T82" i="17"/>
  <c r="T83" i="17"/>
  <c r="T84" i="17"/>
  <c r="T85" i="17"/>
  <c r="T86" i="17"/>
  <c r="T87" i="17"/>
  <c r="T88" i="17"/>
  <c r="T89" i="17"/>
  <c r="T90" i="17"/>
  <c r="T91" i="17"/>
  <c r="T92" i="17"/>
  <c r="T93" i="17"/>
  <c r="T94" i="17"/>
  <c r="T95" i="17"/>
  <c r="T96" i="17"/>
  <c r="T97" i="17"/>
  <c r="T98" i="17"/>
  <c r="T99" i="17"/>
  <c r="T100" i="17"/>
  <c r="T101" i="17"/>
  <c r="T102" i="17"/>
  <c r="T103" i="17"/>
  <c r="T104" i="17"/>
  <c r="T105" i="17"/>
  <c r="T106" i="17"/>
  <c r="T107" i="17"/>
  <c r="T108" i="17"/>
  <c r="T109" i="17"/>
  <c r="T110" i="17"/>
  <c r="T111" i="17"/>
  <c r="T112" i="17"/>
  <c r="T113" i="17"/>
  <c r="T114" i="17"/>
  <c r="T115" i="17"/>
  <c r="T116" i="17"/>
  <c r="T117" i="17"/>
  <c r="T118" i="17"/>
  <c r="T119" i="17"/>
  <c r="T120" i="17"/>
  <c r="T121" i="17"/>
  <c r="T122" i="17"/>
  <c r="T123" i="17"/>
  <c r="T124" i="17"/>
  <c r="T125" i="17"/>
  <c r="T126" i="17"/>
  <c r="T127" i="17"/>
  <c r="T128" i="17"/>
  <c r="T129" i="17"/>
  <c r="T130" i="17"/>
  <c r="T131" i="17"/>
  <c r="T132" i="17"/>
  <c r="T133" i="17"/>
  <c r="T134" i="17"/>
  <c r="T135" i="17"/>
  <c r="T136" i="17"/>
  <c r="T137" i="17"/>
  <c r="T138" i="17"/>
  <c r="T139" i="17"/>
  <c r="T140" i="17"/>
  <c r="T141" i="17"/>
  <c r="T142" i="17"/>
  <c r="T143" i="17"/>
  <c r="T144" i="17"/>
  <c r="T145" i="17"/>
  <c r="T146" i="17"/>
  <c r="T147" i="17"/>
  <c r="T148" i="17"/>
  <c r="T149" i="17"/>
  <c r="T150" i="17"/>
  <c r="T151" i="17"/>
  <c r="T152" i="17"/>
  <c r="T153" i="17"/>
  <c r="T154" i="17"/>
  <c r="T155" i="17"/>
  <c r="T156" i="17"/>
  <c r="T157" i="17"/>
  <c r="T158" i="17"/>
  <c r="T159" i="17"/>
  <c r="T160" i="17"/>
  <c r="T161" i="17"/>
  <c r="T162" i="17"/>
  <c r="T163" i="17"/>
  <c r="T164" i="17"/>
  <c r="T165" i="17"/>
  <c r="T166" i="17"/>
  <c r="T167" i="17"/>
  <c r="T168" i="17"/>
  <c r="T169" i="17"/>
  <c r="T170" i="17"/>
  <c r="T171" i="17"/>
  <c r="T172" i="17"/>
  <c r="T173" i="17"/>
  <c r="T174" i="17"/>
  <c r="T175" i="17"/>
  <c r="T176" i="17"/>
  <c r="T177" i="17"/>
  <c r="T178" i="17"/>
  <c r="T179" i="17"/>
  <c r="T180" i="17"/>
  <c r="T181" i="17"/>
  <c r="T182" i="17"/>
  <c r="T183" i="17"/>
  <c r="T184" i="17"/>
  <c r="T185" i="17"/>
  <c r="T186" i="17"/>
  <c r="T187" i="17"/>
  <c r="T188" i="17"/>
  <c r="T189" i="17"/>
  <c r="T190" i="17"/>
  <c r="T191" i="17"/>
  <c r="T192" i="17"/>
  <c r="T193" i="17"/>
  <c r="T194" i="17"/>
  <c r="T195" i="17"/>
  <c r="T196" i="17"/>
  <c r="T197" i="17"/>
  <c r="T198" i="17"/>
  <c r="T199" i="17"/>
  <c r="T200" i="17"/>
  <c r="T201" i="17"/>
  <c r="T202" i="17"/>
  <c r="T203" i="17"/>
  <c r="T204" i="17"/>
  <c r="T205" i="17"/>
  <c r="T206" i="17"/>
  <c r="T207" i="17"/>
  <c r="T208" i="17"/>
  <c r="T209" i="17"/>
  <c r="T210" i="17"/>
  <c r="T211" i="17"/>
  <c r="T212" i="17"/>
  <c r="T213" i="17"/>
  <c r="T214" i="17"/>
  <c r="T215" i="17"/>
  <c r="T216" i="17"/>
  <c r="T217" i="17"/>
  <c r="T218" i="17"/>
  <c r="T219" i="17"/>
  <c r="T220" i="17"/>
  <c r="T221" i="17"/>
  <c r="T222" i="17"/>
  <c r="T223" i="17"/>
  <c r="T224" i="17"/>
  <c r="T225" i="17"/>
  <c r="T226" i="17"/>
  <c r="T227" i="17"/>
  <c r="T228" i="17"/>
  <c r="T229" i="17"/>
  <c r="T230" i="17"/>
  <c r="T231" i="17"/>
  <c r="T232" i="17"/>
  <c r="T233" i="17"/>
  <c r="T234" i="17"/>
  <c r="T235" i="17"/>
  <c r="T236" i="17"/>
  <c r="T237" i="17"/>
  <c r="T238" i="17"/>
  <c r="T239" i="17"/>
  <c r="T240" i="17"/>
  <c r="T241" i="17"/>
  <c r="T242" i="17"/>
  <c r="T243" i="17"/>
  <c r="T244" i="17"/>
  <c r="T245" i="17"/>
  <c r="T246" i="17"/>
  <c r="T247" i="17"/>
  <c r="T248" i="17"/>
  <c r="T249" i="17"/>
  <c r="T250" i="17"/>
  <c r="T251" i="17"/>
  <c r="T252" i="17"/>
  <c r="T253" i="17"/>
  <c r="T254" i="17"/>
  <c r="T255" i="17"/>
  <c r="T256" i="17"/>
  <c r="T257" i="17"/>
  <c r="T258" i="17"/>
  <c r="T259" i="17"/>
  <c r="T260" i="17"/>
  <c r="T261" i="17"/>
  <c r="T262" i="17"/>
  <c r="T263" i="17"/>
  <c r="T264" i="17"/>
  <c r="T265" i="17"/>
  <c r="T266" i="17"/>
  <c r="T267" i="17"/>
  <c r="T268" i="17"/>
  <c r="T269" i="17"/>
  <c r="T270" i="17"/>
  <c r="T271" i="17"/>
  <c r="T272" i="17"/>
  <c r="T273" i="17"/>
  <c r="T274" i="17"/>
  <c r="T275" i="17"/>
  <c r="T276" i="17"/>
  <c r="T277" i="17"/>
  <c r="T278" i="17"/>
  <c r="T279" i="17"/>
  <c r="T280" i="17"/>
  <c r="T281" i="17"/>
  <c r="T282" i="17"/>
  <c r="T283" i="17"/>
  <c r="T284" i="17"/>
  <c r="T285" i="17"/>
  <c r="T286" i="17"/>
  <c r="T287" i="17"/>
  <c r="T288" i="17"/>
  <c r="T289" i="17"/>
  <c r="T290" i="17"/>
  <c r="T291" i="17"/>
  <c r="T292" i="17"/>
  <c r="T293" i="17"/>
  <c r="T294" i="17"/>
  <c r="T295" i="17"/>
  <c r="T296" i="17"/>
  <c r="T297" i="17"/>
  <c r="T298" i="17"/>
  <c r="T299" i="17"/>
  <c r="T300" i="17"/>
  <c r="T301" i="17"/>
  <c r="T302" i="17"/>
  <c r="T303" i="17"/>
  <c r="T304" i="17"/>
  <c r="T305" i="17"/>
  <c r="T306" i="17"/>
  <c r="T307" i="17"/>
  <c r="T308" i="17"/>
  <c r="T309" i="17"/>
  <c r="T310" i="17"/>
  <c r="T311" i="17"/>
  <c r="T312" i="17"/>
  <c r="T313" i="17"/>
  <c r="T314" i="17"/>
  <c r="T315" i="17"/>
  <c r="T316" i="17"/>
  <c r="T317" i="17"/>
  <c r="T318" i="17"/>
  <c r="T319" i="17"/>
  <c r="T320" i="17"/>
  <c r="T321" i="17"/>
  <c r="T322" i="17"/>
  <c r="T323" i="17"/>
  <c r="T324" i="17"/>
  <c r="T325" i="17"/>
  <c r="T326" i="17"/>
  <c r="T327" i="17"/>
  <c r="T328" i="17"/>
  <c r="T329" i="17"/>
  <c r="T330" i="17"/>
  <c r="T331" i="17"/>
  <c r="T332" i="17"/>
  <c r="T333" i="17"/>
  <c r="T334" i="17"/>
  <c r="T335" i="17"/>
  <c r="T336" i="17"/>
  <c r="T337" i="17"/>
  <c r="T338" i="17"/>
  <c r="T339" i="17"/>
  <c r="T340" i="17"/>
  <c r="T341" i="17"/>
  <c r="T342" i="17"/>
  <c r="T343" i="17"/>
  <c r="T344" i="17"/>
  <c r="T345" i="17"/>
  <c r="T346" i="17"/>
  <c r="T347" i="17"/>
  <c r="T348" i="17"/>
  <c r="T349" i="17"/>
  <c r="T350" i="17"/>
  <c r="T351" i="17"/>
  <c r="T352" i="17"/>
  <c r="T353" i="17"/>
  <c r="T354" i="17"/>
  <c r="T355" i="17"/>
  <c r="T356" i="17"/>
  <c r="T357" i="17"/>
  <c r="T358" i="17"/>
  <c r="T359" i="17"/>
  <c r="T360" i="17"/>
  <c r="T361" i="17"/>
  <c r="T362" i="17"/>
  <c r="T363" i="17"/>
  <c r="T364" i="17"/>
  <c r="T365" i="17"/>
  <c r="T366" i="17"/>
  <c r="T367" i="17"/>
  <c r="T368" i="17"/>
  <c r="T369" i="17"/>
  <c r="T370" i="17"/>
  <c r="T371" i="17"/>
  <c r="T372" i="17"/>
  <c r="T373" i="17"/>
  <c r="T374" i="17"/>
  <c r="T375" i="17"/>
  <c r="T376" i="17"/>
  <c r="T377" i="17"/>
  <c r="T378" i="17"/>
  <c r="T379" i="17"/>
  <c r="T380" i="17"/>
  <c r="T381" i="17"/>
  <c r="T382" i="17"/>
  <c r="T383" i="17"/>
  <c r="T384" i="17"/>
  <c r="T385" i="17"/>
  <c r="T386" i="17"/>
  <c r="T387" i="17"/>
  <c r="T388" i="17"/>
  <c r="T389" i="17"/>
  <c r="T390" i="17"/>
  <c r="T391" i="17"/>
  <c r="T392" i="17"/>
  <c r="T393" i="17"/>
  <c r="T394" i="17"/>
  <c r="T395" i="17"/>
  <c r="T396" i="17"/>
  <c r="T397" i="17"/>
  <c r="T398" i="17"/>
  <c r="T399" i="17"/>
  <c r="T400" i="17"/>
  <c r="T401" i="17"/>
  <c r="T402" i="17"/>
  <c r="T403" i="17"/>
  <c r="T404" i="17"/>
  <c r="T405" i="17"/>
  <c r="T406" i="17"/>
  <c r="T407" i="17"/>
  <c r="T408" i="17"/>
  <c r="T409" i="17"/>
  <c r="T410" i="17"/>
  <c r="T411" i="17"/>
  <c r="T412" i="17"/>
  <c r="T413" i="17"/>
  <c r="T414" i="17"/>
  <c r="T415" i="17"/>
  <c r="T416" i="17"/>
  <c r="T417" i="17"/>
  <c r="T418" i="17"/>
  <c r="T419" i="17"/>
  <c r="T420" i="17"/>
  <c r="T421" i="17"/>
  <c r="T422" i="17"/>
  <c r="T423" i="17"/>
  <c r="T424" i="17"/>
  <c r="T425" i="17"/>
  <c r="T426" i="17"/>
  <c r="T427" i="17"/>
  <c r="T428" i="17"/>
  <c r="T429" i="17"/>
  <c r="T430" i="17"/>
  <c r="T431" i="17"/>
  <c r="T432" i="17"/>
  <c r="T433" i="17"/>
  <c r="T434" i="17"/>
  <c r="T435" i="17"/>
  <c r="T436" i="17"/>
  <c r="T437" i="17"/>
  <c r="T438" i="17"/>
  <c r="T439" i="17"/>
  <c r="T440" i="17"/>
  <c r="T441" i="17"/>
  <c r="T442" i="17"/>
  <c r="T443" i="17"/>
  <c r="T444" i="17"/>
  <c r="T445" i="17"/>
  <c r="T446" i="17"/>
  <c r="T447" i="17"/>
  <c r="T448" i="17"/>
  <c r="T449" i="17"/>
  <c r="T450" i="17"/>
  <c r="T451" i="17"/>
  <c r="T452" i="17"/>
  <c r="T453" i="17"/>
  <c r="T454" i="17"/>
  <c r="T455" i="17"/>
  <c r="T456" i="17"/>
  <c r="T457" i="17"/>
  <c r="T458" i="17"/>
  <c r="T459" i="17"/>
  <c r="T460" i="17"/>
  <c r="T461" i="17"/>
  <c r="T462" i="17"/>
  <c r="T463" i="17"/>
  <c r="T464" i="17"/>
  <c r="T465" i="17"/>
  <c r="T466" i="17"/>
  <c r="T467" i="17"/>
  <c r="T468" i="17"/>
  <c r="T469" i="17"/>
  <c r="T470" i="17"/>
  <c r="T471" i="17"/>
  <c r="T472" i="17"/>
  <c r="T473" i="17"/>
  <c r="T474" i="17"/>
  <c r="T475" i="17"/>
  <c r="T476" i="17"/>
  <c r="T477" i="17"/>
  <c r="T478" i="17"/>
  <c r="T479" i="17"/>
  <c r="T480" i="17"/>
  <c r="T481" i="17"/>
  <c r="T482" i="17"/>
  <c r="T483" i="17"/>
  <c r="T484" i="17"/>
  <c r="T485" i="17"/>
  <c r="T486" i="17"/>
  <c r="T487" i="17"/>
  <c r="T488" i="17"/>
  <c r="T489" i="17"/>
  <c r="T490" i="17"/>
  <c r="T491" i="17"/>
  <c r="T492" i="17"/>
  <c r="T493" i="17"/>
  <c r="T494" i="17"/>
  <c r="T495" i="17"/>
  <c r="T496" i="17"/>
  <c r="T497" i="17"/>
  <c r="T498" i="17"/>
  <c r="T499" i="17"/>
  <c r="T500" i="17"/>
  <c r="T501" i="17"/>
  <c r="T502" i="17"/>
  <c r="T503" i="17"/>
  <c r="T504" i="17"/>
  <c r="T505" i="17"/>
  <c r="T506" i="17"/>
  <c r="T507" i="17"/>
  <c r="T508" i="17"/>
  <c r="T509" i="17"/>
  <c r="T510" i="17"/>
  <c r="T511" i="17"/>
  <c r="T512" i="17"/>
  <c r="T513" i="17"/>
  <c r="T514" i="17"/>
  <c r="T515" i="17"/>
  <c r="T516" i="17"/>
  <c r="T517" i="17"/>
  <c r="T518" i="17"/>
  <c r="T519" i="17"/>
  <c r="T520" i="17"/>
  <c r="T521" i="17"/>
  <c r="T522" i="17"/>
  <c r="T523" i="17"/>
  <c r="T524" i="17"/>
  <c r="T525" i="17"/>
  <c r="T526" i="17"/>
  <c r="T527" i="17"/>
  <c r="T528" i="17"/>
  <c r="T529" i="17"/>
  <c r="T530" i="17"/>
  <c r="T531" i="17"/>
  <c r="T532" i="17"/>
  <c r="T533" i="17"/>
  <c r="T534" i="17"/>
  <c r="T535" i="17"/>
  <c r="T536" i="17"/>
  <c r="T537" i="17"/>
  <c r="T538" i="17"/>
  <c r="T539" i="17"/>
  <c r="T540" i="17"/>
  <c r="T541" i="17"/>
  <c r="T542" i="17"/>
  <c r="T543" i="17"/>
  <c r="T544" i="17"/>
  <c r="T545" i="17"/>
  <c r="T546" i="17"/>
  <c r="T547" i="17"/>
  <c r="T548" i="17"/>
  <c r="T549" i="17"/>
  <c r="T550" i="17"/>
  <c r="T551" i="17"/>
  <c r="T552" i="17"/>
  <c r="T553" i="17"/>
  <c r="T554" i="17"/>
  <c r="T555" i="17"/>
  <c r="T556" i="17"/>
  <c r="T557" i="17"/>
  <c r="T558" i="17"/>
  <c r="T559" i="17"/>
  <c r="T560" i="17"/>
  <c r="T561" i="17"/>
  <c r="T562" i="17"/>
  <c r="T563" i="17"/>
  <c r="T564" i="17"/>
  <c r="T565" i="17"/>
  <c r="T566" i="17"/>
  <c r="T567" i="17"/>
  <c r="T568" i="17"/>
  <c r="T569" i="17"/>
  <c r="T570" i="17"/>
  <c r="T571" i="17"/>
  <c r="T572" i="17"/>
  <c r="T573" i="17"/>
  <c r="T574" i="17"/>
  <c r="T575" i="17"/>
  <c r="T576" i="17"/>
  <c r="T577" i="17"/>
  <c r="T578" i="17"/>
  <c r="T579" i="17"/>
  <c r="T580" i="17"/>
  <c r="T581" i="17"/>
  <c r="T582" i="17"/>
  <c r="T583" i="17"/>
  <c r="T584" i="17"/>
  <c r="T585" i="17"/>
  <c r="T586" i="17"/>
  <c r="T587" i="17"/>
  <c r="T588" i="17"/>
  <c r="T589" i="17"/>
  <c r="T590" i="17"/>
  <c r="T591" i="17"/>
  <c r="T592" i="17"/>
  <c r="T593" i="17"/>
  <c r="T594" i="17"/>
  <c r="T595" i="17"/>
  <c r="T596" i="17"/>
  <c r="T597" i="17"/>
  <c r="T598" i="17"/>
  <c r="T599" i="17"/>
  <c r="T600" i="17"/>
  <c r="T601" i="17"/>
  <c r="T602" i="17"/>
  <c r="T603" i="17"/>
  <c r="T604" i="17"/>
  <c r="T605" i="17"/>
  <c r="T606" i="17"/>
  <c r="T607" i="17"/>
  <c r="T608" i="17"/>
  <c r="T609" i="17"/>
  <c r="T610" i="17"/>
  <c r="T611" i="17"/>
  <c r="T612" i="17"/>
  <c r="T613" i="17"/>
  <c r="T614" i="17"/>
  <c r="T615" i="17"/>
  <c r="T616" i="17"/>
  <c r="T617" i="17"/>
  <c r="T618" i="17"/>
  <c r="T619" i="17"/>
  <c r="T620" i="17"/>
  <c r="T621" i="17"/>
  <c r="T622" i="17"/>
  <c r="T623" i="17"/>
  <c r="T624" i="17"/>
  <c r="T625" i="17"/>
  <c r="T626" i="17"/>
  <c r="T627" i="17"/>
  <c r="T628" i="17"/>
  <c r="T629" i="17"/>
  <c r="T630" i="17"/>
  <c r="T631" i="17"/>
  <c r="T632" i="17"/>
  <c r="T633" i="17"/>
  <c r="T634" i="17"/>
  <c r="T635" i="17"/>
  <c r="T636" i="17"/>
  <c r="T637" i="17"/>
  <c r="T638" i="17"/>
  <c r="T639" i="17"/>
  <c r="T640" i="17"/>
  <c r="T641" i="17"/>
  <c r="T642" i="17"/>
  <c r="T643" i="17"/>
  <c r="T644" i="17"/>
  <c r="T645" i="17"/>
  <c r="T646" i="17"/>
  <c r="T647" i="17"/>
  <c r="T648" i="17"/>
  <c r="T649" i="17"/>
  <c r="T650" i="17"/>
  <c r="T651" i="17"/>
  <c r="T652" i="17"/>
  <c r="T653" i="17"/>
  <c r="T654" i="17"/>
  <c r="T655" i="17"/>
  <c r="T656" i="17"/>
  <c r="T657" i="17"/>
  <c r="T658" i="17"/>
  <c r="T659" i="17"/>
  <c r="T660" i="17"/>
  <c r="T661" i="17"/>
  <c r="T662" i="17"/>
  <c r="T663" i="17"/>
  <c r="T664" i="17"/>
  <c r="T665" i="17"/>
  <c r="T666" i="17"/>
  <c r="T667" i="17"/>
  <c r="T668" i="17"/>
  <c r="T669" i="17"/>
  <c r="T670" i="17"/>
  <c r="T671" i="17"/>
  <c r="T672" i="17"/>
  <c r="T673" i="17"/>
  <c r="T674" i="17"/>
  <c r="T675" i="17"/>
  <c r="T676" i="17"/>
  <c r="T677" i="17"/>
  <c r="T678" i="17"/>
  <c r="T679" i="17"/>
  <c r="T680" i="17"/>
  <c r="T681" i="17"/>
  <c r="T682" i="17"/>
  <c r="T683" i="17"/>
  <c r="T684" i="17"/>
  <c r="T685" i="17"/>
  <c r="T686" i="17"/>
  <c r="T687" i="17"/>
  <c r="T688" i="17"/>
  <c r="T689" i="17"/>
  <c r="T690" i="17"/>
  <c r="T691" i="17"/>
  <c r="T692" i="17"/>
  <c r="T693" i="17"/>
  <c r="T694" i="17"/>
  <c r="T695" i="17"/>
  <c r="T696" i="17"/>
  <c r="T697" i="17"/>
  <c r="T698" i="17"/>
  <c r="T699" i="17"/>
  <c r="T700" i="17"/>
  <c r="T701" i="17"/>
  <c r="T702" i="17"/>
  <c r="T703" i="17"/>
  <c r="T704" i="17"/>
  <c r="T705" i="17"/>
  <c r="T706" i="17"/>
  <c r="T707" i="17"/>
  <c r="T708" i="17"/>
  <c r="T709" i="17"/>
  <c r="T710" i="17"/>
  <c r="T711" i="17"/>
  <c r="T712" i="17"/>
  <c r="T713" i="17"/>
  <c r="T714" i="17"/>
  <c r="T715" i="17"/>
  <c r="T716" i="17"/>
  <c r="T717" i="17"/>
  <c r="T718" i="17"/>
  <c r="T719" i="17"/>
  <c r="T720" i="17"/>
  <c r="T721" i="17"/>
  <c r="T722" i="17"/>
  <c r="T723" i="17"/>
  <c r="T724" i="17"/>
  <c r="T725" i="17"/>
  <c r="T726" i="17"/>
  <c r="T727" i="17"/>
  <c r="T728" i="17"/>
  <c r="T729" i="17"/>
  <c r="T730" i="17"/>
  <c r="T731" i="17"/>
  <c r="T732" i="17"/>
  <c r="T733" i="17"/>
  <c r="T734" i="17"/>
  <c r="T735" i="17"/>
  <c r="T736" i="17"/>
  <c r="T737" i="17"/>
  <c r="T738" i="17"/>
  <c r="T739" i="17"/>
  <c r="T740" i="17"/>
  <c r="T741" i="17"/>
  <c r="T742" i="17"/>
  <c r="T743" i="17"/>
  <c r="T744" i="17"/>
  <c r="T745" i="17"/>
  <c r="T746" i="17"/>
  <c r="T747" i="17"/>
  <c r="T748" i="17"/>
  <c r="T749" i="17"/>
  <c r="T750" i="17"/>
  <c r="T751" i="17"/>
  <c r="T752" i="17"/>
  <c r="T753" i="17"/>
  <c r="T754" i="17"/>
  <c r="T755" i="17"/>
  <c r="T756" i="17"/>
  <c r="T757" i="17"/>
  <c r="T758" i="17"/>
  <c r="T759" i="17"/>
  <c r="T760" i="17"/>
  <c r="T761" i="17"/>
  <c r="T762" i="17"/>
  <c r="T763" i="17"/>
  <c r="T764" i="17"/>
  <c r="T765" i="17"/>
  <c r="T766" i="17"/>
  <c r="T767" i="17"/>
  <c r="T768" i="17"/>
  <c r="T769" i="17"/>
  <c r="T770" i="17"/>
  <c r="T771" i="17"/>
  <c r="T772" i="17"/>
  <c r="T773" i="17"/>
  <c r="T774" i="17"/>
  <c r="T775" i="17"/>
  <c r="T776" i="17"/>
  <c r="T777" i="17"/>
  <c r="T778" i="17"/>
  <c r="T779" i="17"/>
  <c r="T780" i="17"/>
  <c r="T781" i="17"/>
  <c r="T782" i="17"/>
  <c r="T783" i="17"/>
  <c r="T784" i="17"/>
  <c r="T785" i="17"/>
  <c r="T786" i="17"/>
  <c r="T787" i="17"/>
  <c r="T788" i="17"/>
  <c r="T789" i="17"/>
  <c r="T790" i="17"/>
  <c r="T791" i="17"/>
  <c r="T792" i="17"/>
  <c r="T793" i="17"/>
  <c r="T794" i="17"/>
  <c r="T795" i="17"/>
  <c r="T796" i="17"/>
  <c r="T797" i="17"/>
  <c r="T798" i="17"/>
  <c r="T799" i="17"/>
  <c r="T800" i="17"/>
  <c r="T801" i="17"/>
  <c r="T802" i="17"/>
  <c r="T803" i="17"/>
  <c r="T804" i="17"/>
  <c r="T805" i="17"/>
  <c r="T806" i="17"/>
  <c r="T807" i="17"/>
  <c r="T808" i="17"/>
  <c r="T809" i="17"/>
  <c r="T810" i="17"/>
  <c r="T811" i="17"/>
  <c r="T812" i="17"/>
  <c r="T813" i="17"/>
  <c r="T814" i="17"/>
  <c r="T815" i="17"/>
  <c r="T816" i="17"/>
  <c r="T817" i="17"/>
  <c r="T818" i="17"/>
  <c r="T819" i="17"/>
  <c r="T820" i="17"/>
  <c r="T821" i="17"/>
  <c r="T822" i="17"/>
  <c r="T823" i="17"/>
  <c r="T824" i="17"/>
  <c r="T825" i="17"/>
  <c r="T826" i="17"/>
  <c r="T827" i="17"/>
  <c r="T828" i="17"/>
  <c r="T829" i="17"/>
  <c r="T830" i="17"/>
  <c r="T831" i="17"/>
  <c r="T832" i="17"/>
  <c r="T833" i="17"/>
  <c r="T834" i="17"/>
  <c r="T835" i="17"/>
  <c r="T836" i="17"/>
  <c r="T837" i="17"/>
  <c r="T838" i="17"/>
  <c r="T839" i="17"/>
  <c r="T840" i="17"/>
  <c r="T841" i="17"/>
  <c r="T842" i="17"/>
  <c r="T843" i="17"/>
  <c r="T844" i="17"/>
  <c r="T845" i="17"/>
  <c r="T846" i="17"/>
  <c r="T847" i="17"/>
  <c r="T848" i="17"/>
  <c r="T849" i="17"/>
  <c r="T850" i="17"/>
  <c r="T851" i="17"/>
  <c r="T852" i="17"/>
  <c r="T853" i="17"/>
  <c r="T854" i="17"/>
  <c r="T855" i="17"/>
  <c r="T856" i="17"/>
  <c r="T857" i="17"/>
  <c r="T858" i="17"/>
  <c r="T859" i="17"/>
  <c r="T860" i="17"/>
  <c r="T861" i="17"/>
  <c r="T862" i="17"/>
  <c r="T863" i="17"/>
  <c r="T864" i="17"/>
  <c r="T865" i="17"/>
  <c r="T866" i="17"/>
  <c r="T867" i="17"/>
  <c r="T868" i="17"/>
  <c r="T869" i="17"/>
  <c r="T870" i="17"/>
  <c r="T871" i="17"/>
  <c r="T872" i="17"/>
  <c r="T873" i="17"/>
  <c r="T874" i="17"/>
  <c r="T875" i="17"/>
  <c r="T876" i="17"/>
  <c r="T877" i="17"/>
  <c r="T878" i="17"/>
  <c r="T879" i="17"/>
  <c r="T880" i="17"/>
  <c r="T881" i="17"/>
  <c r="T882" i="17"/>
  <c r="T883" i="17"/>
  <c r="T884" i="17"/>
  <c r="T885" i="17"/>
  <c r="T886" i="17"/>
  <c r="T887" i="17"/>
  <c r="T888" i="17"/>
  <c r="T889" i="17"/>
  <c r="T890" i="17"/>
  <c r="T891" i="17"/>
  <c r="T892" i="17"/>
  <c r="T893" i="17"/>
  <c r="T894" i="17"/>
  <c r="T895" i="17"/>
  <c r="T896" i="17"/>
  <c r="T897" i="17"/>
  <c r="T898" i="17"/>
  <c r="T899" i="17"/>
  <c r="T900" i="17"/>
  <c r="T901" i="17"/>
  <c r="T902" i="17"/>
  <c r="T903" i="17"/>
  <c r="T904" i="17"/>
  <c r="T905" i="17"/>
  <c r="T906" i="17"/>
  <c r="T907" i="17"/>
  <c r="T908" i="17"/>
  <c r="T909" i="17"/>
  <c r="T910" i="17"/>
  <c r="T911" i="17"/>
  <c r="T912" i="17"/>
  <c r="T913" i="17"/>
  <c r="T914" i="17"/>
  <c r="T915" i="17"/>
  <c r="T916" i="17"/>
  <c r="T917" i="17"/>
  <c r="T918" i="17"/>
  <c r="T919" i="17"/>
  <c r="T920" i="17"/>
  <c r="T921" i="17"/>
  <c r="T922" i="17"/>
  <c r="T923" i="17"/>
  <c r="T924" i="17"/>
  <c r="T925" i="17"/>
  <c r="T926" i="17"/>
  <c r="T927" i="17"/>
  <c r="T928" i="17"/>
  <c r="T929" i="17"/>
  <c r="T930" i="17"/>
  <c r="T931" i="17"/>
  <c r="T932" i="17"/>
  <c r="T933" i="17"/>
  <c r="T934" i="17"/>
  <c r="T935" i="17"/>
  <c r="T936" i="17"/>
  <c r="T937" i="17"/>
  <c r="T938" i="17"/>
  <c r="T939" i="17"/>
  <c r="T940" i="17"/>
  <c r="T941" i="17"/>
  <c r="T942" i="17"/>
  <c r="T943" i="17"/>
  <c r="T944" i="17"/>
  <c r="T945" i="17"/>
  <c r="T946" i="17"/>
  <c r="T947" i="17"/>
  <c r="T948" i="17"/>
  <c r="T949" i="17"/>
  <c r="T950" i="17"/>
  <c r="T951" i="17"/>
  <c r="T952" i="17"/>
  <c r="T953" i="17"/>
  <c r="T954" i="17"/>
  <c r="T955" i="17"/>
  <c r="T956" i="17"/>
  <c r="T957" i="17"/>
  <c r="T958" i="17"/>
  <c r="T959" i="17"/>
  <c r="T960" i="17"/>
  <c r="T961" i="17"/>
  <c r="T962" i="17"/>
  <c r="T963" i="17"/>
  <c r="T964" i="17"/>
  <c r="T965" i="17"/>
  <c r="T966" i="17"/>
  <c r="T967" i="17"/>
  <c r="T968" i="17"/>
  <c r="T969" i="17"/>
  <c r="T970" i="17"/>
  <c r="T971" i="17"/>
  <c r="T972" i="17"/>
  <c r="T973" i="17"/>
  <c r="T974" i="17"/>
  <c r="T975" i="17"/>
  <c r="T976" i="17"/>
  <c r="T977" i="17"/>
  <c r="T978" i="17"/>
  <c r="T979" i="17"/>
  <c r="T980" i="17"/>
  <c r="T981" i="17"/>
  <c r="T982" i="17"/>
  <c r="T983" i="17"/>
  <c r="T984" i="17"/>
  <c r="T985" i="17"/>
  <c r="T986" i="17"/>
  <c r="T987" i="17"/>
  <c r="T988" i="17"/>
  <c r="T989" i="17"/>
  <c r="T990" i="17"/>
  <c r="T991" i="17"/>
  <c r="T992" i="17"/>
  <c r="T993" i="17"/>
  <c r="T994" i="17"/>
  <c r="T995" i="17"/>
  <c r="T996" i="17"/>
  <c r="T997" i="17"/>
  <c r="T998" i="17"/>
  <c r="T999" i="17"/>
  <c r="T1000" i="17"/>
  <c r="T1001" i="17"/>
  <c r="L2" i="17"/>
  <c r="S2" i="17" s="1"/>
  <c r="K3" i="17"/>
  <c r="R3" i="17" s="1"/>
  <c r="L3" i="17"/>
  <c r="S3" i="17" s="1"/>
  <c r="N3" i="17"/>
  <c r="O3" i="17" s="1"/>
  <c r="K4" i="17"/>
  <c r="R4" i="17" s="1"/>
  <c r="L4" i="17"/>
  <c r="S4" i="17" s="1"/>
  <c r="N4" i="17"/>
  <c r="O4" i="17" s="1"/>
  <c r="K5" i="17"/>
  <c r="R5" i="17" s="1"/>
  <c r="L5" i="17"/>
  <c r="S5" i="17" s="1"/>
  <c r="N5" i="17"/>
  <c r="O5" i="17" s="1"/>
  <c r="K6" i="17"/>
  <c r="R6" i="17" s="1"/>
  <c r="L6" i="17"/>
  <c r="S6" i="17" s="1"/>
  <c r="N6" i="17"/>
  <c r="O6" i="17" s="1"/>
  <c r="K7" i="17"/>
  <c r="R7" i="17" s="1"/>
  <c r="L7" i="17"/>
  <c r="S7" i="17" s="1"/>
  <c r="N7" i="17"/>
  <c r="O7" i="17" s="1"/>
  <c r="K8" i="17"/>
  <c r="R8" i="17" s="1"/>
  <c r="L8" i="17"/>
  <c r="S8" i="17" s="1"/>
  <c r="N8" i="17"/>
  <c r="O8" i="17" s="1"/>
  <c r="K9" i="17"/>
  <c r="R9" i="17" s="1"/>
  <c r="L9" i="17"/>
  <c r="S9" i="17" s="1"/>
  <c r="N9" i="17"/>
  <c r="O9" i="17" s="1"/>
  <c r="K10" i="17"/>
  <c r="R10" i="17" s="1"/>
  <c r="L10" i="17"/>
  <c r="S10" i="17" s="1"/>
  <c r="N10" i="17"/>
  <c r="O10" i="17" s="1"/>
  <c r="K11" i="17"/>
  <c r="R11" i="17" s="1"/>
  <c r="L11" i="17"/>
  <c r="S11" i="17" s="1"/>
  <c r="N11" i="17"/>
  <c r="O11" i="17" s="1"/>
  <c r="K12" i="17"/>
  <c r="R12" i="17" s="1"/>
  <c r="L12" i="17"/>
  <c r="S12" i="17" s="1"/>
  <c r="N12" i="17"/>
  <c r="O12" i="17" s="1"/>
  <c r="K13" i="17"/>
  <c r="R13" i="17" s="1"/>
  <c r="L13" i="17"/>
  <c r="S13" i="17" s="1"/>
  <c r="N13" i="17"/>
  <c r="O13" i="17" s="1"/>
  <c r="K14" i="17"/>
  <c r="R14" i="17" s="1"/>
  <c r="L14" i="17"/>
  <c r="S14" i="17" s="1"/>
  <c r="N14" i="17"/>
  <c r="O14" i="17" s="1"/>
  <c r="K15" i="17"/>
  <c r="R15" i="17" s="1"/>
  <c r="L15" i="17"/>
  <c r="S15" i="17" s="1"/>
  <c r="N15" i="17"/>
  <c r="O15" i="17" s="1"/>
  <c r="K16" i="17"/>
  <c r="R16" i="17" s="1"/>
  <c r="L16" i="17"/>
  <c r="S16" i="17" s="1"/>
  <c r="N16" i="17"/>
  <c r="O16" i="17" s="1"/>
  <c r="K17" i="17"/>
  <c r="R17" i="17" s="1"/>
  <c r="L17" i="17"/>
  <c r="S17" i="17" s="1"/>
  <c r="N17" i="17"/>
  <c r="O17" i="17" s="1"/>
  <c r="K18" i="17"/>
  <c r="R18" i="17" s="1"/>
  <c r="L18" i="17"/>
  <c r="S18" i="17" s="1"/>
  <c r="N18" i="17"/>
  <c r="O18" i="17" s="1"/>
  <c r="K19" i="17"/>
  <c r="R19" i="17" s="1"/>
  <c r="L19" i="17"/>
  <c r="S19" i="17" s="1"/>
  <c r="N19" i="17"/>
  <c r="O19" i="17" s="1"/>
  <c r="K20" i="17"/>
  <c r="R20" i="17" s="1"/>
  <c r="L20" i="17"/>
  <c r="S20" i="17" s="1"/>
  <c r="N20" i="17"/>
  <c r="O20" i="17" s="1"/>
  <c r="K21" i="17"/>
  <c r="R21" i="17" s="1"/>
  <c r="L21" i="17"/>
  <c r="S21" i="17" s="1"/>
  <c r="N21" i="17"/>
  <c r="O21" i="17" s="1"/>
  <c r="K22" i="17"/>
  <c r="R22" i="17" s="1"/>
  <c r="L22" i="17"/>
  <c r="S22" i="17" s="1"/>
  <c r="N22" i="17"/>
  <c r="O22" i="17" s="1"/>
  <c r="K23" i="17"/>
  <c r="R23" i="17" s="1"/>
  <c r="L23" i="17"/>
  <c r="S23" i="17" s="1"/>
  <c r="N23" i="17"/>
  <c r="O23" i="17" s="1"/>
  <c r="K24" i="17"/>
  <c r="R24" i="17" s="1"/>
  <c r="L24" i="17"/>
  <c r="S24" i="17" s="1"/>
  <c r="N24" i="17"/>
  <c r="O24" i="17" s="1"/>
  <c r="K25" i="17"/>
  <c r="R25" i="17" s="1"/>
  <c r="L25" i="17"/>
  <c r="S25" i="17" s="1"/>
  <c r="N25" i="17"/>
  <c r="O25" i="17" s="1"/>
  <c r="K26" i="17"/>
  <c r="R26" i="17" s="1"/>
  <c r="L26" i="17"/>
  <c r="S26" i="17" s="1"/>
  <c r="N26" i="17"/>
  <c r="O26" i="17" s="1"/>
  <c r="K27" i="17"/>
  <c r="R27" i="17" s="1"/>
  <c r="L27" i="17"/>
  <c r="S27" i="17" s="1"/>
  <c r="N27" i="17"/>
  <c r="O27" i="17" s="1"/>
  <c r="K28" i="17"/>
  <c r="R28" i="17" s="1"/>
  <c r="L28" i="17"/>
  <c r="S28" i="17" s="1"/>
  <c r="N28" i="17"/>
  <c r="O28" i="17" s="1"/>
  <c r="K29" i="17"/>
  <c r="R29" i="17" s="1"/>
  <c r="L29" i="17"/>
  <c r="S29" i="17" s="1"/>
  <c r="N29" i="17"/>
  <c r="O29" i="17" s="1"/>
  <c r="K30" i="17"/>
  <c r="R30" i="17" s="1"/>
  <c r="L30" i="17"/>
  <c r="S30" i="17" s="1"/>
  <c r="N30" i="17"/>
  <c r="O30" i="17" s="1"/>
  <c r="K31" i="17"/>
  <c r="R31" i="17" s="1"/>
  <c r="L31" i="17"/>
  <c r="S31" i="17" s="1"/>
  <c r="N31" i="17"/>
  <c r="O31" i="17" s="1"/>
  <c r="K32" i="17"/>
  <c r="R32" i="17" s="1"/>
  <c r="L32" i="17"/>
  <c r="S32" i="17" s="1"/>
  <c r="N32" i="17"/>
  <c r="O32" i="17" s="1"/>
  <c r="K33" i="17"/>
  <c r="R33" i="17" s="1"/>
  <c r="L33" i="17"/>
  <c r="S33" i="17" s="1"/>
  <c r="N33" i="17"/>
  <c r="O33" i="17" s="1"/>
  <c r="K34" i="17"/>
  <c r="R34" i="17" s="1"/>
  <c r="L34" i="17"/>
  <c r="S34" i="17" s="1"/>
  <c r="N34" i="17"/>
  <c r="O34" i="17" s="1"/>
  <c r="K35" i="17"/>
  <c r="R35" i="17" s="1"/>
  <c r="L35" i="17"/>
  <c r="S35" i="17" s="1"/>
  <c r="N35" i="17"/>
  <c r="O35" i="17" s="1"/>
  <c r="K36" i="17"/>
  <c r="R36" i="17" s="1"/>
  <c r="L36" i="17"/>
  <c r="S36" i="17" s="1"/>
  <c r="N36" i="17"/>
  <c r="O36" i="17" s="1"/>
  <c r="K37" i="17"/>
  <c r="R37" i="17" s="1"/>
  <c r="L37" i="17"/>
  <c r="S37" i="17" s="1"/>
  <c r="N37" i="17"/>
  <c r="O37" i="17" s="1"/>
  <c r="K38" i="17"/>
  <c r="R38" i="17" s="1"/>
  <c r="L38" i="17"/>
  <c r="S38" i="17" s="1"/>
  <c r="N38" i="17"/>
  <c r="O38" i="17" s="1"/>
  <c r="K39" i="17"/>
  <c r="R39" i="17" s="1"/>
  <c r="L39" i="17"/>
  <c r="S39" i="17" s="1"/>
  <c r="N39" i="17"/>
  <c r="O39" i="17" s="1"/>
  <c r="K40" i="17"/>
  <c r="R40" i="17" s="1"/>
  <c r="L40" i="17"/>
  <c r="S40" i="17" s="1"/>
  <c r="N40" i="17"/>
  <c r="O40" i="17" s="1"/>
  <c r="K41" i="17"/>
  <c r="R41" i="17" s="1"/>
  <c r="L41" i="17"/>
  <c r="S41" i="17" s="1"/>
  <c r="N41" i="17"/>
  <c r="O41" i="17" s="1"/>
  <c r="K42" i="17"/>
  <c r="R42" i="17" s="1"/>
  <c r="L42" i="17"/>
  <c r="S42" i="17" s="1"/>
  <c r="N42" i="17"/>
  <c r="O42" i="17" s="1"/>
  <c r="K43" i="17"/>
  <c r="R43" i="17" s="1"/>
  <c r="L43" i="17"/>
  <c r="S43" i="17" s="1"/>
  <c r="N43" i="17"/>
  <c r="O43" i="17" s="1"/>
  <c r="K44" i="17"/>
  <c r="R44" i="17" s="1"/>
  <c r="L44" i="17"/>
  <c r="S44" i="17" s="1"/>
  <c r="N44" i="17"/>
  <c r="O44" i="17" s="1"/>
  <c r="K45" i="17"/>
  <c r="R45" i="17" s="1"/>
  <c r="L45" i="17"/>
  <c r="S45" i="17" s="1"/>
  <c r="N45" i="17"/>
  <c r="O45" i="17" s="1"/>
  <c r="K46" i="17"/>
  <c r="R46" i="17" s="1"/>
  <c r="L46" i="17"/>
  <c r="S46" i="17" s="1"/>
  <c r="N46" i="17"/>
  <c r="O46" i="17" s="1"/>
  <c r="K47" i="17"/>
  <c r="R47" i="17" s="1"/>
  <c r="L47" i="17"/>
  <c r="S47" i="17" s="1"/>
  <c r="N47" i="17"/>
  <c r="O47" i="17" s="1"/>
  <c r="K48" i="17"/>
  <c r="R48" i="17" s="1"/>
  <c r="L48" i="17"/>
  <c r="S48" i="17" s="1"/>
  <c r="N48" i="17"/>
  <c r="O48" i="17" s="1"/>
  <c r="K49" i="17"/>
  <c r="R49" i="17" s="1"/>
  <c r="L49" i="17"/>
  <c r="S49" i="17" s="1"/>
  <c r="N49" i="17"/>
  <c r="O49" i="17" s="1"/>
  <c r="K50" i="17"/>
  <c r="R50" i="17" s="1"/>
  <c r="L50" i="17"/>
  <c r="S50" i="17" s="1"/>
  <c r="N50" i="17"/>
  <c r="O50" i="17" s="1"/>
  <c r="K51" i="17"/>
  <c r="R51" i="17" s="1"/>
  <c r="L51" i="17"/>
  <c r="S51" i="17" s="1"/>
  <c r="N51" i="17"/>
  <c r="O51" i="17" s="1"/>
  <c r="K52" i="17"/>
  <c r="R52" i="17" s="1"/>
  <c r="L52" i="17"/>
  <c r="S52" i="17" s="1"/>
  <c r="N52" i="17"/>
  <c r="O52" i="17" s="1"/>
  <c r="K53" i="17"/>
  <c r="R53" i="17" s="1"/>
  <c r="L53" i="17"/>
  <c r="S53" i="17" s="1"/>
  <c r="N53" i="17"/>
  <c r="O53" i="17" s="1"/>
  <c r="K54" i="17"/>
  <c r="R54" i="17" s="1"/>
  <c r="L54" i="17"/>
  <c r="S54" i="17" s="1"/>
  <c r="N54" i="17"/>
  <c r="O54" i="17" s="1"/>
  <c r="K55" i="17"/>
  <c r="R55" i="17" s="1"/>
  <c r="L55" i="17"/>
  <c r="S55" i="17" s="1"/>
  <c r="N55" i="17"/>
  <c r="O55" i="17" s="1"/>
  <c r="K56" i="17"/>
  <c r="R56" i="17" s="1"/>
  <c r="L56" i="17"/>
  <c r="S56" i="17" s="1"/>
  <c r="N56" i="17"/>
  <c r="O56" i="17" s="1"/>
  <c r="K57" i="17"/>
  <c r="R57" i="17" s="1"/>
  <c r="L57" i="17"/>
  <c r="S57" i="17" s="1"/>
  <c r="N57" i="17"/>
  <c r="O57" i="17" s="1"/>
  <c r="K58" i="17"/>
  <c r="R58" i="17" s="1"/>
  <c r="L58" i="17"/>
  <c r="S58" i="17" s="1"/>
  <c r="N58" i="17"/>
  <c r="O58" i="17" s="1"/>
  <c r="K59" i="17"/>
  <c r="R59" i="17" s="1"/>
  <c r="L59" i="17"/>
  <c r="S59" i="17" s="1"/>
  <c r="N59" i="17"/>
  <c r="O59" i="17" s="1"/>
  <c r="K60" i="17"/>
  <c r="R60" i="17" s="1"/>
  <c r="L60" i="17"/>
  <c r="S60" i="17" s="1"/>
  <c r="N60" i="17"/>
  <c r="O60" i="17" s="1"/>
  <c r="K61" i="17"/>
  <c r="R61" i="17" s="1"/>
  <c r="L61" i="17"/>
  <c r="S61" i="17" s="1"/>
  <c r="N61" i="17"/>
  <c r="O61" i="17" s="1"/>
  <c r="K62" i="17"/>
  <c r="R62" i="17" s="1"/>
  <c r="L62" i="17"/>
  <c r="S62" i="17" s="1"/>
  <c r="N62" i="17"/>
  <c r="O62" i="17" s="1"/>
  <c r="K63" i="17"/>
  <c r="R63" i="17" s="1"/>
  <c r="L63" i="17"/>
  <c r="S63" i="17" s="1"/>
  <c r="N63" i="17"/>
  <c r="O63" i="17" s="1"/>
  <c r="K64" i="17"/>
  <c r="R64" i="17" s="1"/>
  <c r="L64" i="17"/>
  <c r="S64" i="17" s="1"/>
  <c r="N64" i="17"/>
  <c r="O64" i="17" s="1"/>
  <c r="K65" i="17"/>
  <c r="R65" i="17" s="1"/>
  <c r="L65" i="17"/>
  <c r="S65" i="17" s="1"/>
  <c r="N65" i="17"/>
  <c r="O65" i="17" s="1"/>
  <c r="K66" i="17"/>
  <c r="R66" i="17" s="1"/>
  <c r="L66" i="17"/>
  <c r="S66" i="17" s="1"/>
  <c r="N66" i="17"/>
  <c r="O66" i="17" s="1"/>
  <c r="K67" i="17"/>
  <c r="R67" i="17" s="1"/>
  <c r="L67" i="17"/>
  <c r="S67" i="17" s="1"/>
  <c r="N67" i="17"/>
  <c r="O67" i="17" s="1"/>
  <c r="K68" i="17"/>
  <c r="R68" i="17" s="1"/>
  <c r="L68" i="17"/>
  <c r="S68" i="17" s="1"/>
  <c r="N68" i="17"/>
  <c r="O68" i="17" s="1"/>
  <c r="K69" i="17"/>
  <c r="R69" i="17" s="1"/>
  <c r="L69" i="17"/>
  <c r="S69" i="17" s="1"/>
  <c r="N69" i="17"/>
  <c r="O69" i="17" s="1"/>
  <c r="K70" i="17"/>
  <c r="R70" i="17" s="1"/>
  <c r="L70" i="17"/>
  <c r="S70" i="17" s="1"/>
  <c r="N70" i="17"/>
  <c r="O70" i="17" s="1"/>
  <c r="K71" i="17"/>
  <c r="R71" i="17" s="1"/>
  <c r="L71" i="17"/>
  <c r="S71" i="17" s="1"/>
  <c r="N71" i="17"/>
  <c r="O71" i="17" s="1"/>
  <c r="K72" i="17"/>
  <c r="R72" i="17" s="1"/>
  <c r="L72" i="17"/>
  <c r="S72" i="17" s="1"/>
  <c r="N72" i="17"/>
  <c r="O72" i="17" s="1"/>
  <c r="K73" i="17"/>
  <c r="R73" i="17" s="1"/>
  <c r="L73" i="17"/>
  <c r="S73" i="17" s="1"/>
  <c r="N73" i="17"/>
  <c r="O73" i="17" s="1"/>
  <c r="K74" i="17"/>
  <c r="R74" i="17" s="1"/>
  <c r="L74" i="17"/>
  <c r="S74" i="17" s="1"/>
  <c r="N74" i="17"/>
  <c r="O74" i="17" s="1"/>
  <c r="K75" i="17"/>
  <c r="R75" i="17" s="1"/>
  <c r="L75" i="17"/>
  <c r="S75" i="17" s="1"/>
  <c r="N75" i="17"/>
  <c r="O75" i="17" s="1"/>
  <c r="K76" i="17"/>
  <c r="R76" i="17" s="1"/>
  <c r="L76" i="17"/>
  <c r="S76" i="17" s="1"/>
  <c r="N76" i="17"/>
  <c r="O76" i="17" s="1"/>
  <c r="K77" i="17"/>
  <c r="R77" i="17" s="1"/>
  <c r="L77" i="17"/>
  <c r="S77" i="17" s="1"/>
  <c r="N77" i="17"/>
  <c r="O77" i="17" s="1"/>
  <c r="K78" i="17"/>
  <c r="R78" i="17" s="1"/>
  <c r="L78" i="17"/>
  <c r="S78" i="17" s="1"/>
  <c r="N78" i="17"/>
  <c r="O78" i="17" s="1"/>
  <c r="K79" i="17"/>
  <c r="R79" i="17" s="1"/>
  <c r="L79" i="17"/>
  <c r="S79" i="17" s="1"/>
  <c r="N79" i="17"/>
  <c r="O79" i="17" s="1"/>
  <c r="K80" i="17"/>
  <c r="R80" i="17" s="1"/>
  <c r="L80" i="17"/>
  <c r="S80" i="17" s="1"/>
  <c r="N80" i="17"/>
  <c r="O80" i="17" s="1"/>
  <c r="K81" i="17"/>
  <c r="R81" i="17" s="1"/>
  <c r="L81" i="17"/>
  <c r="S81" i="17" s="1"/>
  <c r="N81" i="17"/>
  <c r="O81" i="17" s="1"/>
  <c r="K82" i="17"/>
  <c r="R82" i="17" s="1"/>
  <c r="L82" i="17"/>
  <c r="S82" i="17" s="1"/>
  <c r="N82" i="17"/>
  <c r="O82" i="17" s="1"/>
  <c r="K83" i="17"/>
  <c r="R83" i="17" s="1"/>
  <c r="L83" i="17"/>
  <c r="S83" i="17" s="1"/>
  <c r="N83" i="17"/>
  <c r="O83" i="17" s="1"/>
  <c r="K84" i="17"/>
  <c r="R84" i="17" s="1"/>
  <c r="L84" i="17"/>
  <c r="S84" i="17" s="1"/>
  <c r="N84" i="17"/>
  <c r="O84" i="17" s="1"/>
  <c r="K85" i="17"/>
  <c r="R85" i="17" s="1"/>
  <c r="L85" i="17"/>
  <c r="S85" i="17" s="1"/>
  <c r="N85" i="17"/>
  <c r="O85" i="17" s="1"/>
  <c r="K86" i="17"/>
  <c r="R86" i="17" s="1"/>
  <c r="L86" i="17"/>
  <c r="S86" i="17" s="1"/>
  <c r="N86" i="17"/>
  <c r="O86" i="17" s="1"/>
  <c r="K87" i="17"/>
  <c r="R87" i="17" s="1"/>
  <c r="L87" i="17"/>
  <c r="S87" i="17" s="1"/>
  <c r="N87" i="17"/>
  <c r="O87" i="17" s="1"/>
  <c r="K88" i="17"/>
  <c r="R88" i="17" s="1"/>
  <c r="L88" i="17"/>
  <c r="S88" i="17" s="1"/>
  <c r="N88" i="17"/>
  <c r="O88" i="17" s="1"/>
  <c r="K89" i="17"/>
  <c r="R89" i="17" s="1"/>
  <c r="L89" i="17"/>
  <c r="S89" i="17" s="1"/>
  <c r="N89" i="17"/>
  <c r="O89" i="17" s="1"/>
  <c r="K90" i="17"/>
  <c r="R90" i="17" s="1"/>
  <c r="L90" i="17"/>
  <c r="S90" i="17" s="1"/>
  <c r="N90" i="17"/>
  <c r="O90" i="17" s="1"/>
  <c r="K91" i="17"/>
  <c r="R91" i="17" s="1"/>
  <c r="L91" i="17"/>
  <c r="S91" i="17" s="1"/>
  <c r="N91" i="17"/>
  <c r="O91" i="17" s="1"/>
  <c r="K92" i="17"/>
  <c r="R92" i="17" s="1"/>
  <c r="L92" i="17"/>
  <c r="S92" i="17" s="1"/>
  <c r="N92" i="17"/>
  <c r="O92" i="17" s="1"/>
  <c r="K93" i="17"/>
  <c r="R93" i="17" s="1"/>
  <c r="L93" i="17"/>
  <c r="S93" i="17" s="1"/>
  <c r="N93" i="17"/>
  <c r="O93" i="17" s="1"/>
  <c r="K94" i="17"/>
  <c r="R94" i="17" s="1"/>
  <c r="L94" i="17"/>
  <c r="S94" i="17" s="1"/>
  <c r="N94" i="17"/>
  <c r="O94" i="17" s="1"/>
  <c r="K95" i="17"/>
  <c r="R95" i="17" s="1"/>
  <c r="L95" i="17"/>
  <c r="S95" i="17" s="1"/>
  <c r="N95" i="17"/>
  <c r="O95" i="17" s="1"/>
  <c r="K96" i="17"/>
  <c r="R96" i="17" s="1"/>
  <c r="L96" i="17"/>
  <c r="S96" i="17" s="1"/>
  <c r="N96" i="17"/>
  <c r="O96" i="17" s="1"/>
  <c r="K97" i="17"/>
  <c r="R97" i="17" s="1"/>
  <c r="L97" i="17"/>
  <c r="S97" i="17" s="1"/>
  <c r="N97" i="17"/>
  <c r="O97" i="17" s="1"/>
  <c r="K98" i="17"/>
  <c r="R98" i="17" s="1"/>
  <c r="L98" i="17"/>
  <c r="S98" i="17" s="1"/>
  <c r="N98" i="17"/>
  <c r="O98" i="17" s="1"/>
  <c r="K99" i="17"/>
  <c r="R99" i="17" s="1"/>
  <c r="L99" i="17"/>
  <c r="S99" i="17" s="1"/>
  <c r="N99" i="17"/>
  <c r="O99" i="17" s="1"/>
  <c r="K100" i="17"/>
  <c r="R100" i="17" s="1"/>
  <c r="L100" i="17"/>
  <c r="S100" i="17" s="1"/>
  <c r="N100" i="17"/>
  <c r="O100" i="17" s="1"/>
  <c r="K101" i="17"/>
  <c r="R101" i="17" s="1"/>
  <c r="L101" i="17"/>
  <c r="S101" i="17" s="1"/>
  <c r="N101" i="17"/>
  <c r="O101" i="17" s="1"/>
  <c r="K102" i="17"/>
  <c r="R102" i="17" s="1"/>
  <c r="L102" i="17"/>
  <c r="S102" i="17" s="1"/>
  <c r="N102" i="17"/>
  <c r="O102" i="17" s="1"/>
  <c r="K103" i="17"/>
  <c r="R103" i="17" s="1"/>
  <c r="L103" i="17"/>
  <c r="S103" i="17" s="1"/>
  <c r="N103" i="17"/>
  <c r="O103" i="17" s="1"/>
  <c r="K104" i="17"/>
  <c r="R104" i="17" s="1"/>
  <c r="L104" i="17"/>
  <c r="S104" i="17" s="1"/>
  <c r="N104" i="17"/>
  <c r="O104" i="17" s="1"/>
  <c r="K105" i="17"/>
  <c r="R105" i="17" s="1"/>
  <c r="L105" i="17"/>
  <c r="S105" i="17" s="1"/>
  <c r="N105" i="17"/>
  <c r="O105" i="17" s="1"/>
  <c r="K106" i="17"/>
  <c r="R106" i="17" s="1"/>
  <c r="L106" i="17"/>
  <c r="S106" i="17" s="1"/>
  <c r="N106" i="17"/>
  <c r="O106" i="17" s="1"/>
  <c r="K107" i="17"/>
  <c r="R107" i="17" s="1"/>
  <c r="L107" i="17"/>
  <c r="S107" i="17" s="1"/>
  <c r="N107" i="17"/>
  <c r="O107" i="17" s="1"/>
  <c r="K108" i="17"/>
  <c r="R108" i="17" s="1"/>
  <c r="L108" i="17"/>
  <c r="S108" i="17" s="1"/>
  <c r="N108" i="17"/>
  <c r="O108" i="17" s="1"/>
  <c r="K109" i="17"/>
  <c r="R109" i="17" s="1"/>
  <c r="L109" i="17"/>
  <c r="S109" i="17" s="1"/>
  <c r="N109" i="17"/>
  <c r="O109" i="17" s="1"/>
  <c r="K110" i="17"/>
  <c r="R110" i="17" s="1"/>
  <c r="L110" i="17"/>
  <c r="S110" i="17" s="1"/>
  <c r="N110" i="17"/>
  <c r="O110" i="17" s="1"/>
  <c r="K111" i="17"/>
  <c r="R111" i="17" s="1"/>
  <c r="L111" i="17"/>
  <c r="S111" i="17" s="1"/>
  <c r="N111" i="17"/>
  <c r="O111" i="17" s="1"/>
  <c r="K112" i="17"/>
  <c r="R112" i="17" s="1"/>
  <c r="L112" i="17"/>
  <c r="S112" i="17" s="1"/>
  <c r="N112" i="17"/>
  <c r="O112" i="17" s="1"/>
  <c r="K113" i="17"/>
  <c r="R113" i="17" s="1"/>
  <c r="L113" i="17"/>
  <c r="S113" i="17" s="1"/>
  <c r="N113" i="17"/>
  <c r="O113" i="17" s="1"/>
  <c r="K114" i="17"/>
  <c r="R114" i="17" s="1"/>
  <c r="L114" i="17"/>
  <c r="S114" i="17" s="1"/>
  <c r="N114" i="17"/>
  <c r="O114" i="17" s="1"/>
  <c r="K115" i="17"/>
  <c r="R115" i="17" s="1"/>
  <c r="L115" i="17"/>
  <c r="S115" i="17" s="1"/>
  <c r="N115" i="17"/>
  <c r="O115" i="17" s="1"/>
  <c r="K116" i="17"/>
  <c r="R116" i="17" s="1"/>
  <c r="L116" i="17"/>
  <c r="S116" i="17" s="1"/>
  <c r="N116" i="17"/>
  <c r="O116" i="17" s="1"/>
  <c r="K117" i="17"/>
  <c r="R117" i="17" s="1"/>
  <c r="L117" i="17"/>
  <c r="S117" i="17" s="1"/>
  <c r="N117" i="17"/>
  <c r="O117" i="17" s="1"/>
  <c r="K118" i="17"/>
  <c r="R118" i="17" s="1"/>
  <c r="L118" i="17"/>
  <c r="S118" i="17" s="1"/>
  <c r="N118" i="17"/>
  <c r="O118" i="17" s="1"/>
  <c r="K119" i="17"/>
  <c r="R119" i="17" s="1"/>
  <c r="L119" i="17"/>
  <c r="S119" i="17" s="1"/>
  <c r="N119" i="17"/>
  <c r="O119" i="17" s="1"/>
  <c r="K120" i="17"/>
  <c r="R120" i="17" s="1"/>
  <c r="L120" i="17"/>
  <c r="S120" i="17" s="1"/>
  <c r="N120" i="17"/>
  <c r="O120" i="17" s="1"/>
  <c r="K121" i="17"/>
  <c r="R121" i="17" s="1"/>
  <c r="L121" i="17"/>
  <c r="S121" i="17" s="1"/>
  <c r="N121" i="17"/>
  <c r="O121" i="17" s="1"/>
  <c r="K122" i="17"/>
  <c r="R122" i="17" s="1"/>
  <c r="L122" i="17"/>
  <c r="S122" i="17" s="1"/>
  <c r="N122" i="17"/>
  <c r="O122" i="17" s="1"/>
  <c r="K123" i="17"/>
  <c r="R123" i="17" s="1"/>
  <c r="L123" i="17"/>
  <c r="S123" i="17" s="1"/>
  <c r="N123" i="17"/>
  <c r="O123" i="17" s="1"/>
  <c r="K124" i="17"/>
  <c r="R124" i="17" s="1"/>
  <c r="L124" i="17"/>
  <c r="S124" i="17" s="1"/>
  <c r="N124" i="17"/>
  <c r="O124" i="17" s="1"/>
  <c r="K125" i="17"/>
  <c r="R125" i="17" s="1"/>
  <c r="L125" i="17"/>
  <c r="S125" i="17" s="1"/>
  <c r="N125" i="17"/>
  <c r="O125" i="17" s="1"/>
  <c r="K126" i="17"/>
  <c r="R126" i="17" s="1"/>
  <c r="L126" i="17"/>
  <c r="S126" i="17" s="1"/>
  <c r="N126" i="17"/>
  <c r="O126" i="17" s="1"/>
  <c r="K127" i="17"/>
  <c r="R127" i="17" s="1"/>
  <c r="L127" i="17"/>
  <c r="S127" i="17" s="1"/>
  <c r="N127" i="17"/>
  <c r="O127" i="17" s="1"/>
  <c r="K128" i="17"/>
  <c r="R128" i="17" s="1"/>
  <c r="L128" i="17"/>
  <c r="S128" i="17" s="1"/>
  <c r="N128" i="17"/>
  <c r="O128" i="17" s="1"/>
  <c r="K129" i="17"/>
  <c r="R129" i="17" s="1"/>
  <c r="L129" i="17"/>
  <c r="S129" i="17" s="1"/>
  <c r="N129" i="17"/>
  <c r="O129" i="17" s="1"/>
  <c r="K130" i="17"/>
  <c r="R130" i="17" s="1"/>
  <c r="L130" i="17"/>
  <c r="S130" i="17" s="1"/>
  <c r="N130" i="17"/>
  <c r="O130" i="17" s="1"/>
  <c r="K131" i="17"/>
  <c r="R131" i="17" s="1"/>
  <c r="L131" i="17"/>
  <c r="S131" i="17" s="1"/>
  <c r="N131" i="17"/>
  <c r="O131" i="17" s="1"/>
  <c r="K132" i="17"/>
  <c r="R132" i="17" s="1"/>
  <c r="L132" i="17"/>
  <c r="S132" i="17" s="1"/>
  <c r="N132" i="17"/>
  <c r="O132" i="17" s="1"/>
  <c r="K133" i="17"/>
  <c r="R133" i="17" s="1"/>
  <c r="L133" i="17"/>
  <c r="S133" i="17" s="1"/>
  <c r="N133" i="17"/>
  <c r="O133" i="17" s="1"/>
  <c r="K134" i="17"/>
  <c r="R134" i="17" s="1"/>
  <c r="L134" i="17"/>
  <c r="S134" i="17" s="1"/>
  <c r="N134" i="17"/>
  <c r="O134" i="17" s="1"/>
  <c r="K135" i="17"/>
  <c r="R135" i="17" s="1"/>
  <c r="L135" i="17"/>
  <c r="S135" i="17" s="1"/>
  <c r="N135" i="17"/>
  <c r="O135" i="17" s="1"/>
  <c r="K136" i="17"/>
  <c r="R136" i="17" s="1"/>
  <c r="L136" i="17"/>
  <c r="S136" i="17" s="1"/>
  <c r="N136" i="17"/>
  <c r="O136" i="17" s="1"/>
  <c r="K137" i="17"/>
  <c r="R137" i="17" s="1"/>
  <c r="L137" i="17"/>
  <c r="S137" i="17" s="1"/>
  <c r="N137" i="17"/>
  <c r="O137" i="17" s="1"/>
  <c r="K138" i="17"/>
  <c r="R138" i="17" s="1"/>
  <c r="L138" i="17"/>
  <c r="S138" i="17" s="1"/>
  <c r="N138" i="17"/>
  <c r="O138" i="17" s="1"/>
  <c r="K139" i="17"/>
  <c r="R139" i="17" s="1"/>
  <c r="L139" i="17"/>
  <c r="S139" i="17" s="1"/>
  <c r="N139" i="17"/>
  <c r="O139" i="17" s="1"/>
  <c r="K140" i="17"/>
  <c r="R140" i="17" s="1"/>
  <c r="L140" i="17"/>
  <c r="S140" i="17" s="1"/>
  <c r="N140" i="17"/>
  <c r="O140" i="17" s="1"/>
  <c r="K141" i="17"/>
  <c r="R141" i="17" s="1"/>
  <c r="L141" i="17"/>
  <c r="S141" i="17" s="1"/>
  <c r="N141" i="17"/>
  <c r="O141" i="17" s="1"/>
  <c r="K142" i="17"/>
  <c r="R142" i="17" s="1"/>
  <c r="L142" i="17"/>
  <c r="S142" i="17" s="1"/>
  <c r="N142" i="17"/>
  <c r="O142" i="17" s="1"/>
  <c r="K143" i="17"/>
  <c r="R143" i="17" s="1"/>
  <c r="L143" i="17"/>
  <c r="S143" i="17" s="1"/>
  <c r="N143" i="17"/>
  <c r="O143" i="17" s="1"/>
  <c r="K144" i="17"/>
  <c r="R144" i="17" s="1"/>
  <c r="L144" i="17"/>
  <c r="S144" i="17" s="1"/>
  <c r="N144" i="17"/>
  <c r="O144" i="17" s="1"/>
  <c r="K145" i="17"/>
  <c r="R145" i="17" s="1"/>
  <c r="L145" i="17"/>
  <c r="S145" i="17" s="1"/>
  <c r="N145" i="17"/>
  <c r="O145" i="17" s="1"/>
  <c r="K146" i="17"/>
  <c r="R146" i="17" s="1"/>
  <c r="L146" i="17"/>
  <c r="S146" i="17" s="1"/>
  <c r="N146" i="17"/>
  <c r="O146" i="17" s="1"/>
  <c r="K147" i="17"/>
  <c r="R147" i="17" s="1"/>
  <c r="L147" i="17"/>
  <c r="S147" i="17" s="1"/>
  <c r="N147" i="17"/>
  <c r="O147" i="17" s="1"/>
  <c r="K148" i="17"/>
  <c r="R148" i="17" s="1"/>
  <c r="L148" i="17"/>
  <c r="S148" i="17" s="1"/>
  <c r="N148" i="17"/>
  <c r="O148" i="17" s="1"/>
  <c r="K149" i="17"/>
  <c r="R149" i="17" s="1"/>
  <c r="L149" i="17"/>
  <c r="S149" i="17" s="1"/>
  <c r="N149" i="17"/>
  <c r="O149" i="17" s="1"/>
  <c r="K150" i="17"/>
  <c r="R150" i="17" s="1"/>
  <c r="L150" i="17"/>
  <c r="S150" i="17" s="1"/>
  <c r="N150" i="17"/>
  <c r="O150" i="17" s="1"/>
  <c r="K151" i="17"/>
  <c r="R151" i="17" s="1"/>
  <c r="L151" i="17"/>
  <c r="S151" i="17" s="1"/>
  <c r="N151" i="17"/>
  <c r="O151" i="17" s="1"/>
  <c r="K152" i="17"/>
  <c r="R152" i="17" s="1"/>
  <c r="L152" i="17"/>
  <c r="S152" i="17" s="1"/>
  <c r="N152" i="17"/>
  <c r="O152" i="17" s="1"/>
  <c r="K153" i="17"/>
  <c r="R153" i="17" s="1"/>
  <c r="L153" i="17"/>
  <c r="S153" i="17" s="1"/>
  <c r="N153" i="17"/>
  <c r="O153" i="17" s="1"/>
  <c r="K154" i="17"/>
  <c r="R154" i="17" s="1"/>
  <c r="L154" i="17"/>
  <c r="S154" i="17" s="1"/>
  <c r="N154" i="17"/>
  <c r="O154" i="17" s="1"/>
  <c r="K155" i="17"/>
  <c r="R155" i="17" s="1"/>
  <c r="L155" i="17"/>
  <c r="S155" i="17" s="1"/>
  <c r="N155" i="17"/>
  <c r="O155" i="17" s="1"/>
  <c r="K156" i="17"/>
  <c r="R156" i="17" s="1"/>
  <c r="L156" i="17"/>
  <c r="S156" i="17" s="1"/>
  <c r="N156" i="17"/>
  <c r="O156" i="17" s="1"/>
  <c r="K157" i="17"/>
  <c r="R157" i="17" s="1"/>
  <c r="L157" i="17"/>
  <c r="S157" i="17" s="1"/>
  <c r="N157" i="17"/>
  <c r="O157" i="17" s="1"/>
  <c r="K158" i="17"/>
  <c r="R158" i="17" s="1"/>
  <c r="L158" i="17"/>
  <c r="S158" i="17" s="1"/>
  <c r="N158" i="17"/>
  <c r="O158" i="17" s="1"/>
  <c r="K159" i="17"/>
  <c r="R159" i="17" s="1"/>
  <c r="L159" i="17"/>
  <c r="S159" i="17" s="1"/>
  <c r="N159" i="17"/>
  <c r="O159" i="17" s="1"/>
  <c r="K160" i="17"/>
  <c r="R160" i="17" s="1"/>
  <c r="L160" i="17"/>
  <c r="S160" i="17" s="1"/>
  <c r="N160" i="17"/>
  <c r="O160" i="17" s="1"/>
  <c r="K161" i="17"/>
  <c r="R161" i="17" s="1"/>
  <c r="L161" i="17"/>
  <c r="S161" i="17" s="1"/>
  <c r="N161" i="17"/>
  <c r="O161" i="17" s="1"/>
  <c r="K162" i="17"/>
  <c r="R162" i="17" s="1"/>
  <c r="L162" i="17"/>
  <c r="S162" i="17" s="1"/>
  <c r="N162" i="17"/>
  <c r="O162" i="17" s="1"/>
  <c r="K163" i="17"/>
  <c r="R163" i="17" s="1"/>
  <c r="L163" i="17"/>
  <c r="S163" i="17" s="1"/>
  <c r="N163" i="17"/>
  <c r="O163" i="17" s="1"/>
  <c r="K164" i="17"/>
  <c r="R164" i="17" s="1"/>
  <c r="L164" i="17"/>
  <c r="S164" i="17" s="1"/>
  <c r="N164" i="17"/>
  <c r="O164" i="17" s="1"/>
  <c r="K165" i="17"/>
  <c r="R165" i="17" s="1"/>
  <c r="L165" i="17"/>
  <c r="S165" i="17" s="1"/>
  <c r="N165" i="17"/>
  <c r="O165" i="17" s="1"/>
  <c r="K166" i="17"/>
  <c r="R166" i="17" s="1"/>
  <c r="L166" i="17"/>
  <c r="S166" i="17" s="1"/>
  <c r="N166" i="17"/>
  <c r="O166" i="17" s="1"/>
  <c r="K167" i="17"/>
  <c r="R167" i="17" s="1"/>
  <c r="L167" i="17"/>
  <c r="S167" i="17" s="1"/>
  <c r="N167" i="17"/>
  <c r="O167" i="17" s="1"/>
  <c r="K168" i="17"/>
  <c r="R168" i="17" s="1"/>
  <c r="L168" i="17"/>
  <c r="S168" i="17" s="1"/>
  <c r="N168" i="17"/>
  <c r="O168" i="17" s="1"/>
  <c r="K169" i="17"/>
  <c r="R169" i="17" s="1"/>
  <c r="L169" i="17"/>
  <c r="S169" i="17" s="1"/>
  <c r="N169" i="17"/>
  <c r="O169" i="17" s="1"/>
  <c r="K170" i="17"/>
  <c r="R170" i="17" s="1"/>
  <c r="L170" i="17"/>
  <c r="S170" i="17" s="1"/>
  <c r="N170" i="17"/>
  <c r="O170" i="17" s="1"/>
  <c r="K171" i="17"/>
  <c r="R171" i="17" s="1"/>
  <c r="L171" i="17"/>
  <c r="S171" i="17" s="1"/>
  <c r="N171" i="17"/>
  <c r="O171" i="17" s="1"/>
  <c r="K172" i="17"/>
  <c r="R172" i="17" s="1"/>
  <c r="L172" i="17"/>
  <c r="S172" i="17" s="1"/>
  <c r="N172" i="17"/>
  <c r="O172" i="17" s="1"/>
  <c r="K173" i="17"/>
  <c r="R173" i="17" s="1"/>
  <c r="L173" i="17"/>
  <c r="S173" i="17" s="1"/>
  <c r="N173" i="17"/>
  <c r="O173" i="17" s="1"/>
  <c r="K174" i="17"/>
  <c r="R174" i="17" s="1"/>
  <c r="L174" i="17"/>
  <c r="S174" i="17" s="1"/>
  <c r="N174" i="17"/>
  <c r="O174" i="17" s="1"/>
  <c r="K175" i="17"/>
  <c r="R175" i="17" s="1"/>
  <c r="L175" i="17"/>
  <c r="S175" i="17" s="1"/>
  <c r="N175" i="17"/>
  <c r="O175" i="17" s="1"/>
  <c r="K176" i="17"/>
  <c r="R176" i="17" s="1"/>
  <c r="L176" i="17"/>
  <c r="S176" i="17" s="1"/>
  <c r="N176" i="17"/>
  <c r="O176" i="17" s="1"/>
  <c r="K177" i="17"/>
  <c r="R177" i="17" s="1"/>
  <c r="L177" i="17"/>
  <c r="S177" i="17" s="1"/>
  <c r="N177" i="17"/>
  <c r="O177" i="17" s="1"/>
  <c r="K178" i="17"/>
  <c r="R178" i="17" s="1"/>
  <c r="L178" i="17"/>
  <c r="S178" i="17" s="1"/>
  <c r="N178" i="17"/>
  <c r="O178" i="17" s="1"/>
  <c r="K179" i="17"/>
  <c r="R179" i="17" s="1"/>
  <c r="L179" i="17"/>
  <c r="S179" i="17" s="1"/>
  <c r="N179" i="17"/>
  <c r="O179" i="17" s="1"/>
  <c r="K180" i="17"/>
  <c r="R180" i="17" s="1"/>
  <c r="L180" i="17"/>
  <c r="S180" i="17" s="1"/>
  <c r="N180" i="17"/>
  <c r="O180" i="17" s="1"/>
  <c r="K181" i="17"/>
  <c r="R181" i="17" s="1"/>
  <c r="L181" i="17"/>
  <c r="S181" i="17" s="1"/>
  <c r="N181" i="17"/>
  <c r="O181" i="17" s="1"/>
  <c r="K182" i="17"/>
  <c r="R182" i="17" s="1"/>
  <c r="L182" i="17"/>
  <c r="S182" i="17" s="1"/>
  <c r="N182" i="17"/>
  <c r="O182" i="17" s="1"/>
  <c r="K183" i="17"/>
  <c r="R183" i="17" s="1"/>
  <c r="L183" i="17"/>
  <c r="S183" i="17" s="1"/>
  <c r="N183" i="17"/>
  <c r="O183" i="17" s="1"/>
  <c r="K184" i="17"/>
  <c r="R184" i="17" s="1"/>
  <c r="L184" i="17"/>
  <c r="S184" i="17" s="1"/>
  <c r="N184" i="17"/>
  <c r="O184" i="17" s="1"/>
  <c r="K185" i="17"/>
  <c r="R185" i="17" s="1"/>
  <c r="L185" i="17"/>
  <c r="S185" i="17" s="1"/>
  <c r="N185" i="17"/>
  <c r="O185" i="17" s="1"/>
  <c r="K186" i="17"/>
  <c r="R186" i="17" s="1"/>
  <c r="L186" i="17"/>
  <c r="S186" i="17" s="1"/>
  <c r="N186" i="17"/>
  <c r="O186" i="17" s="1"/>
  <c r="K187" i="17"/>
  <c r="R187" i="17" s="1"/>
  <c r="L187" i="17"/>
  <c r="S187" i="17" s="1"/>
  <c r="N187" i="17"/>
  <c r="O187" i="17" s="1"/>
  <c r="K188" i="17"/>
  <c r="R188" i="17" s="1"/>
  <c r="L188" i="17"/>
  <c r="S188" i="17" s="1"/>
  <c r="N188" i="17"/>
  <c r="O188" i="17" s="1"/>
  <c r="K189" i="17"/>
  <c r="R189" i="17" s="1"/>
  <c r="L189" i="17"/>
  <c r="S189" i="17" s="1"/>
  <c r="N189" i="17"/>
  <c r="O189" i="17" s="1"/>
  <c r="K190" i="17"/>
  <c r="R190" i="17" s="1"/>
  <c r="L190" i="17"/>
  <c r="S190" i="17" s="1"/>
  <c r="N190" i="17"/>
  <c r="O190" i="17" s="1"/>
  <c r="K191" i="17"/>
  <c r="R191" i="17" s="1"/>
  <c r="L191" i="17"/>
  <c r="S191" i="17" s="1"/>
  <c r="N191" i="17"/>
  <c r="O191" i="17" s="1"/>
  <c r="K192" i="17"/>
  <c r="R192" i="17" s="1"/>
  <c r="L192" i="17"/>
  <c r="S192" i="17" s="1"/>
  <c r="N192" i="17"/>
  <c r="O192" i="17" s="1"/>
  <c r="K193" i="17"/>
  <c r="R193" i="17" s="1"/>
  <c r="L193" i="17"/>
  <c r="S193" i="17" s="1"/>
  <c r="N193" i="17"/>
  <c r="O193" i="17" s="1"/>
  <c r="K194" i="17"/>
  <c r="R194" i="17" s="1"/>
  <c r="L194" i="17"/>
  <c r="S194" i="17" s="1"/>
  <c r="N194" i="17"/>
  <c r="O194" i="17" s="1"/>
  <c r="K195" i="17"/>
  <c r="R195" i="17" s="1"/>
  <c r="L195" i="17"/>
  <c r="S195" i="17" s="1"/>
  <c r="N195" i="17"/>
  <c r="O195" i="17" s="1"/>
  <c r="K196" i="17"/>
  <c r="R196" i="17" s="1"/>
  <c r="L196" i="17"/>
  <c r="S196" i="17" s="1"/>
  <c r="N196" i="17"/>
  <c r="O196" i="17" s="1"/>
  <c r="K197" i="17"/>
  <c r="R197" i="17" s="1"/>
  <c r="L197" i="17"/>
  <c r="S197" i="17" s="1"/>
  <c r="N197" i="17"/>
  <c r="O197" i="17" s="1"/>
  <c r="K198" i="17"/>
  <c r="R198" i="17" s="1"/>
  <c r="L198" i="17"/>
  <c r="S198" i="17" s="1"/>
  <c r="N198" i="17"/>
  <c r="O198" i="17" s="1"/>
  <c r="K199" i="17"/>
  <c r="R199" i="17" s="1"/>
  <c r="L199" i="17"/>
  <c r="S199" i="17" s="1"/>
  <c r="N199" i="17"/>
  <c r="O199" i="17" s="1"/>
  <c r="K200" i="17"/>
  <c r="R200" i="17" s="1"/>
  <c r="L200" i="17"/>
  <c r="S200" i="17" s="1"/>
  <c r="N200" i="17"/>
  <c r="O200" i="17" s="1"/>
  <c r="K201" i="17"/>
  <c r="R201" i="17" s="1"/>
  <c r="L201" i="17"/>
  <c r="S201" i="17" s="1"/>
  <c r="N201" i="17"/>
  <c r="O201" i="17" s="1"/>
  <c r="K202" i="17"/>
  <c r="R202" i="17" s="1"/>
  <c r="L202" i="17"/>
  <c r="S202" i="17" s="1"/>
  <c r="N202" i="17"/>
  <c r="O202" i="17" s="1"/>
  <c r="K203" i="17"/>
  <c r="R203" i="17" s="1"/>
  <c r="L203" i="17"/>
  <c r="S203" i="17" s="1"/>
  <c r="N203" i="17"/>
  <c r="O203" i="17" s="1"/>
  <c r="K204" i="17"/>
  <c r="R204" i="17" s="1"/>
  <c r="L204" i="17"/>
  <c r="S204" i="17" s="1"/>
  <c r="N204" i="17"/>
  <c r="O204" i="17" s="1"/>
  <c r="K205" i="17"/>
  <c r="R205" i="17" s="1"/>
  <c r="L205" i="17"/>
  <c r="S205" i="17" s="1"/>
  <c r="N205" i="17"/>
  <c r="O205" i="17" s="1"/>
  <c r="K206" i="17"/>
  <c r="R206" i="17" s="1"/>
  <c r="L206" i="17"/>
  <c r="S206" i="17" s="1"/>
  <c r="N206" i="17"/>
  <c r="O206" i="17" s="1"/>
  <c r="K207" i="17"/>
  <c r="R207" i="17" s="1"/>
  <c r="L207" i="17"/>
  <c r="S207" i="17" s="1"/>
  <c r="N207" i="17"/>
  <c r="O207" i="17" s="1"/>
  <c r="K208" i="17"/>
  <c r="R208" i="17" s="1"/>
  <c r="L208" i="17"/>
  <c r="S208" i="17" s="1"/>
  <c r="N208" i="17"/>
  <c r="O208" i="17" s="1"/>
  <c r="K209" i="17"/>
  <c r="R209" i="17" s="1"/>
  <c r="L209" i="17"/>
  <c r="S209" i="17" s="1"/>
  <c r="N209" i="17"/>
  <c r="O209" i="17" s="1"/>
  <c r="K210" i="17"/>
  <c r="R210" i="17" s="1"/>
  <c r="L210" i="17"/>
  <c r="S210" i="17" s="1"/>
  <c r="N210" i="17"/>
  <c r="O210" i="17" s="1"/>
  <c r="K211" i="17"/>
  <c r="R211" i="17" s="1"/>
  <c r="L211" i="17"/>
  <c r="S211" i="17" s="1"/>
  <c r="N211" i="17"/>
  <c r="O211" i="17" s="1"/>
  <c r="K212" i="17"/>
  <c r="R212" i="17" s="1"/>
  <c r="L212" i="17"/>
  <c r="S212" i="17" s="1"/>
  <c r="N212" i="17"/>
  <c r="O212" i="17" s="1"/>
  <c r="K213" i="17"/>
  <c r="R213" i="17" s="1"/>
  <c r="L213" i="17"/>
  <c r="S213" i="17" s="1"/>
  <c r="N213" i="17"/>
  <c r="O213" i="17" s="1"/>
  <c r="K214" i="17"/>
  <c r="R214" i="17" s="1"/>
  <c r="L214" i="17"/>
  <c r="S214" i="17" s="1"/>
  <c r="N214" i="17"/>
  <c r="O214" i="17" s="1"/>
  <c r="K215" i="17"/>
  <c r="R215" i="17" s="1"/>
  <c r="L215" i="17"/>
  <c r="S215" i="17" s="1"/>
  <c r="N215" i="17"/>
  <c r="O215" i="17" s="1"/>
  <c r="K216" i="17"/>
  <c r="R216" i="17" s="1"/>
  <c r="L216" i="17"/>
  <c r="S216" i="17" s="1"/>
  <c r="N216" i="17"/>
  <c r="O216" i="17" s="1"/>
  <c r="K217" i="17"/>
  <c r="R217" i="17" s="1"/>
  <c r="L217" i="17"/>
  <c r="S217" i="17" s="1"/>
  <c r="N217" i="17"/>
  <c r="O217" i="17" s="1"/>
  <c r="K218" i="17"/>
  <c r="R218" i="17" s="1"/>
  <c r="L218" i="17"/>
  <c r="S218" i="17" s="1"/>
  <c r="N218" i="17"/>
  <c r="O218" i="17" s="1"/>
  <c r="K219" i="17"/>
  <c r="R219" i="17" s="1"/>
  <c r="L219" i="17"/>
  <c r="S219" i="17" s="1"/>
  <c r="N219" i="17"/>
  <c r="O219" i="17" s="1"/>
  <c r="K220" i="17"/>
  <c r="R220" i="17" s="1"/>
  <c r="L220" i="17"/>
  <c r="S220" i="17" s="1"/>
  <c r="N220" i="17"/>
  <c r="O220" i="17" s="1"/>
  <c r="K221" i="17"/>
  <c r="R221" i="17" s="1"/>
  <c r="L221" i="17"/>
  <c r="S221" i="17" s="1"/>
  <c r="N221" i="17"/>
  <c r="O221" i="17" s="1"/>
  <c r="K222" i="17"/>
  <c r="R222" i="17" s="1"/>
  <c r="L222" i="17"/>
  <c r="S222" i="17" s="1"/>
  <c r="N222" i="17"/>
  <c r="O222" i="17" s="1"/>
  <c r="K223" i="17"/>
  <c r="R223" i="17" s="1"/>
  <c r="L223" i="17"/>
  <c r="S223" i="17" s="1"/>
  <c r="N223" i="17"/>
  <c r="O223" i="17" s="1"/>
  <c r="K224" i="17"/>
  <c r="R224" i="17" s="1"/>
  <c r="L224" i="17"/>
  <c r="S224" i="17" s="1"/>
  <c r="N224" i="17"/>
  <c r="O224" i="17" s="1"/>
  <c r="K225" i="17"/>
  <c r="R225" i="17" s="1"/>
  <c r="L225" i="17"/>
  <c r="S225" i="17" s="1"/>
  <c r="N225" i="17"/>
  <c r="O225" i="17" s="1"/>
  <c r="K226" i="17"/>
  <c r="R226" i="17" s="1"/>
  <c r="L226" i="17"/>
  <c r="S226" i="17" s="1"/>
  <c r="N226" i="17"/>
  <c r="O226" i="17" s="1"/>
  <c r="K227" i="17"/>
  <c r="R227" i="17" s="1"/>
  <c r="L227" i="17"/>
  <c r="S227" i="17" s="1"/>
  <c r="N227" i="17"/>
  <c r="O227" i="17" s="1"/>
  <c r="K228" i="17"/>
  <c r="R228" i="17" s="1"/>
  <c r="L228" i="17"/>
  <c r="S228" i="17" s="1"/>
  <c r="N228" i="17"/>
  <c r="O228" i="17" s="1"/>
  <c r="K229" i="17"/>
  <c r="R229" i="17" s="1"/>
  <c r="L229" i="17"/>
  <c r="S229" i="17" s="1"/>
  <c r="N229" i="17"/>
  <c r="O229" i="17" s="1"/>
  <c r="K230" i="17"/>
  <c r="R230" i="17" s="1"/>
  <c r="L230" i="17"/>
  <c r="S230" i="17" s="1"/>
  <c r="N230" i="17"/>
  <c r="O230" i="17" s="1"/>
  <c r="K231" i="17"/>
  <c r="R231" i="17" s="1"/>
  <c r="L231" i="17"/>
  <c r="S231" i="17" s="1"/>
  <c r="N231" i="17"/>
  <c r="O231" i="17" s="1"/>
  <c r="K232" i="17"/>
  <c r="R232" i="17" s="1"/>
  <c r="L232" i="17"/>
  <c r="S232" i="17" s="1"/>
  <c r="N232" i="17"/>
  <c r="O232" i="17" s="1"/>
  <c r="K233" i="17"/>
  <c r="R233" i="17" s="1"/>
  <c r="L233" i="17"/>
  <c r="S233" i="17" s="1"/>
  <c r="N233" i="17"/>
  <c r="O233" i="17" s="1"/>
  <c r="K234" i="17"/>
  <c r="R234" i="17" s="1"/>
  <c r="L234" i="17"/>
  <c r="S234" i="17" s="1"/>
  <c r="N234" i="17"/>
  <c r="O234" i="17" s="1"/>
  <c r="K235" i="17"/>
  <c r="R235" i="17" s="1"/>
  <c r="L235" i="17"/>
  <c r="S235" i="17" s="1"/>
  <c r="N235" i="17"/>
  <c r="O235" i="17" s="1"/>
  <c r="K236" i="17"/>
  <c r="R236" i="17" s="1"/>
  <c r="L236" i="17"/>
  <c r="S236" i="17" s="1"/>
  <c r="N236" i="17"/>
  <c r="O236" i="17" s="1"/>
  <c r="K237" i="17"/>
  <c r="R237" i="17" s="1"/>
  <c r="L237" i="17"/>
  <c r="S237" i="17" s="1"/>
  <c r="N237" i="17"/>
  <c r="O237" i="17" s="1"/>
  <c r="K238" i="17"/>
  <c r="R238" i="17" s="1"/>
  <c r="L238" i="17"/>
  <c r="S238" i="17" s="1"/>
  <c r="N238" i="17"/>
  <c r="O238" i="17" s="1"/>
  <c r="K239" i="17"/>
  <c r="R239" i="17" s="1"/>
  <c r="L239" i="17"/>
  <c r="S239" i="17" s="1"/>
  <c r="N239" i="17"/>
  <c r="O239" i="17" s="1"/>
  <c r="K240" i="17"/>
  <c r="R240" i="17" s="1"/>
  <c r="L240" i="17"/>
  <c r="S240" i="17" s="1"/>
  <c r="N240" i="17"/>
  <c r="O240" i="17" s="1"/>
  <c r="K241" i="17"/>
  <c r="R241" i="17" s="1"/>
  <c r="L241" i="17"/>
  <c r="S241" i="17" s="1"/>
  <c r="N241" i="17"/>
  <c r="O241" i="17" s="1"/>
  <c r="K242" i="17"/>
  <c r="R242" i="17" s="1"/>
  <c r="L242" i="17"/>
  <c r="S242" i="17" s="1"/>
  <c r="N242" i="17"/>
  <c r="O242" i="17" s="1"/>
  <c r="K243" i="17"/>
  <c r="R243" i="17" s="1"/>
  <c r="L243" i="17"/>
  <c r="S243" i="17" s="1"/>
  <c r="N243" i="17"/>
  <c r="O243" i="17" s="1"/>
  <c r="K244" i="17"/>
  <c r="R244" i="17" s="1"/>
  <c r="L244" i="17"/>
  <c r="S244" i="17" s="1"/>
  <c r="N244" i="17"/>
  <c r="O244" i="17" s="1"/>
  <c r="K245" i="17"/>
  <c r="R245" i="17" s="1"/>
  <c r="L245" i="17"/>
  <c r="S245" i="17" s="1"/>
  <c r="N245" i="17"/>
  <c r="O245" i="17" s="1"/>
  <c r="K246" i="17"/>
  <c r="R246" i="17" s="1"/>
  <c r="L246" i="17"/>
  <c r="S246" i="17" s="1"/>
  <c r="N246" i="17"/>
  <c r="O246" i="17" s="1"/>
  <c r="K247" i="17"/>
  <c r="R247" i="17" s="1"/>
  <c r="L247" i="17"/>
  <c r="S247" i="17" s="1"/>
  <c r="N247" i="17"/>
  <c r="O247" i="17" s="1"/>
  <c r="K248" i="17"/>
  <c r="R248" i="17" s="1"/>
  <c r="L248" i="17"/>
  <c r="S248" i="17" s="1"/>
  <c r="N248" i="17"/>
  <c r="O248" i="17" s="1"/>
  <c r="K249" i="17"/>
  <c r="R249" i="17" s="1"/>
  <c r="L249" i="17"/>
  <c r="S249" i="17" s="1"/>
  <c r="N249" i="17"/>
  <c r="O249" i="17" s="1"/>
  <c r="K250" i="17"/>
  <c r="R250" i="17" s="1"/>
  <c r="L250" i="17"/>
  <c r="S250" i="17" s="1"/>
  <c r="N250" i="17"/>
  <c r="O250" i="17" s="1"/>
  <c r="K251" i="17"/>
  <c r="R251" i="17" s="1"/>
  <c r="L251" i="17"/>
  <c r="S251" i="17" s="1"/>
  <c r="N251" i="17"/>
  <c r="O251" i="17" s="1"/>
  <c r="K252" i="17"/>
  <c r="R252" i="17" s="1"/>
  <c r="L252" i="17"/>
  <c r="S252" i="17" s="1"/>
  <c r="N252" i="17"/>
  <c r="O252" i="17" s="1"/>
  <c r="K253" i="17"/>
  <c r="R253" i="17" s="1"/>
  <c r="L253" i="17"/>
  <c r="S253" i="17" s="1"/>
  <c r="N253" i="17"/>
  <c r="O253" i="17" s="1"/>
  <c r="K254" i="17"/>
  <c r="R254" i="17" s="1"/>
  <c r="L254" i="17"/>
  <c r="S254" i="17" s="1"/>
  <c r="N254" i="17"/>
  <c r="O254" i="17" s="1"/>
  <c r="K255" i="17"/>
  <c r="R255" i="17" s="1"/>
  <c r="L255" i="17"/>
  <c r="S255" i="17" s="1"/>
  <c r="N255" i="17"/>
  <c r="O255" i="17" s="1"/>
  <c r="K256" i="17"/>
  <c r="R256" i="17" s="1"/>
  <c r="L256" i="17"/>
  <c r="S256" i="17" s="1"/>
  <c r="N256" i="17"/>
  <c r="O256" i="17" s="1"/>
  <c r="K257" i="17"/>
  <c r="R257" i="17" s="1"/>
  <c r="L257" i="17"/>
  <c r="S257" i="17" s="1"/>
  <c r="N257" i="17"/>
  <c r="O257" i="17" s="1"/>
  <c r="K258" i="17"/>
  <c r="R258" i="17" s="1"/>
  <c r="L258" i="17"/>
  <c r="S258" i="17" s="1"/>
  <c r="N258" i="17"/>
  <c r="O258" i="17" s="1"/>
  <c r="K259" i="17"/>
  <c r="R259" i="17" s="1"/>
  <c r="L259" i="17"/>
  <c r="S259" i="17" s="1"/>
  <c r="N259" i="17"/>
  <c r="O259" i="17" s="1"/>
  <c r="K260" i="17"/>
  <c r="R260" i="17" s="1"/>
  <c r="L260" i="17"/>
  <c r="S260" i="17" s="1"/>
  <c r="N260" i="17"/>
  <c r="O260" i="17" s="1"/>
  <c r="K261" i="17"/>
  <c r="R261" i="17" s="1"/>
  <c r="L261" i="17"/>
  <c r="S261" i="17" s="1"/>
  <c r="N261" i="17"/>
  <c r="O261" i="17" s="1"/>
  <c r="K262" i="17"/>
  <c r="R262" i="17" s="1"/>
  <c r="L262" i="17"/>
  <c r="S262" i="17" s="1"/>
  <c r="N262" i="17"/>
  <c r="O262" i="17" s="1"/>
  <c r="K263" i="17"/>
  <c r="R263" i="17" s="1"/>
  <c r="L263" i="17"/>
  <c r="S263" i="17" s="1"/>
  <c r="N263" i="17"/>
  <c r="O263" i="17" s="1"/>
  <c r="K264" i="17"/>
  <c r="R264" i="17" s="1"/>
  <c r="L264" i="17"/>
  <c r="S264" i="17" s="1"/>
  <c r="N264" i="17"/>
  <c r="O264" i="17" s="1"/>
  <c r="K265" i="17"/>
  <c r="R265" i="17" s="1"/>
  <c r="L265" i="17"/>
  <c r="S265" i="17" s="1"/>
  <c r="N265" i="17"/>
  <c r="O265" i="17" s="1"/>
  <c r="K266" i="17"/>
  <c r="R266" i="17" s="1"/>
  <c r="L266" i="17"/>
  <c r="S266" i="17" s="1"/>
  <c r="N266" i="17"/>
  <c r="O266" i="17" s="1"/>
  <c r="K267" i="17"/>
  <c r="R267" i="17" s="1"/>
  <c r="L267" i="17"/>
  <c r="S267" i="17" s="1"/>
  <c r="N267" i="17"/>
  <c r="O267" i="17" s="1"/>
  <c r="K268" i="17"/>
  <c r="R268" i="17" s="1"/>
  <c r="L268" i="17"/>
  <c r="S268" i="17" s="1"/>
  <c r="N268" i="17"/>
  <c r="O268" i="17" s="1"/>
  <c r="K269" i="17"/>
  <c r="R269" i="17" s="1"/>
  <c r="L269" i="17"/>
  <c r="S269" i="17" s="1"/>
  <c r="N269" i="17"/>
  <c r="O269" i="17" s="1"/>
  <c r="K270" i="17"/>
  <c r="R270" i="17" s="1"/>
  <c r="L270" i="17"/>
  <c r="S270" i="17" s="1"/>
  <c r="N270" i="17"/>
  <c r="O270" i="17" s="1"/>
  <c r="K271" i="17"/>
  <c r="R271" i="17" s="1"/>
  <c r="L271" i="17"/>
  <c r="S271" i="17" s="1"/>
  <c r="N271" i="17"/>
  <c r="O271" i="17" s="1"/>
  <c r="K272" i="17"/>
  <c r="R272" i="17" s="1"/>
  <c r="L272" i="17"/>
  <c r="S272" i="17" s="1"/>
  <c r="N272" i="17"/>
  <c r="O272" i="17" s="1"/>
  <c r="K273" i="17"/>
  <c r="R273" i="17" s="1"/>
  <c r="L273" i="17"/>
  <c r="S273" i="17" s="1"/>
  <c r="N273" i="17"/>
  <c r="O273" i="17" s="1"/>
  <c r="K274" i="17"/>
  <c r="R274" i="17" s="1"/>
  <c r="L274" i="17"/>
  <c r="S274" i="17" s="1"/>
  <c r="N274" i="17"/>
  <c r="O274" i="17" s="1"/>
  <c r="K275" i="17"/>
  <c r="R275" i="17" s="1"/>
  <c r="L275" i="17"/>
  <c r="S275" i="17" s="1"/>
  <c r="N275" i="17"/>
  <c r="O275" i="17" s="1"/>
  <c r="K276" i="17"/>
  <c r="R276" i="17" s="1"/>
  <c r="L276" i="17"/>
  <c r="S276" i="17" s="1"/>
  <c r="N276" i="17"/>
  <c r="O276" i="17" s="1"/>
  <c r="K277" i="17"/>
  <c r="R277" i="17" s="1"/>
  <c r="L277" i="17"/>
  <c r="S277" i="17" s="1"/>
  <c r="N277" i="17"/>
  <c r="O277" i="17" s="1"/>
  <c r="K278" i="17"/>
  <c r="R278" i="17" s="1"/>
  <c r="L278" i="17"/>
  <c r="S278" i="17" s="1"/>
  <c r="N278" i="17"/>
  <c r="O278" i="17" s="1"/>
  <c r="K279" i="17"/>
  <c r="R279" i="17" s="1"/>
  <c r="L279" i="17"/>
  <c r="S279" i="17" s="1"/>
  <c r="N279" i="17"/>
  <c r="O279" i="17" s="1"/>
  <c r="K280" i="17"/>
  <c r="R280" i="17" s="1"/>
  <c r="L280" i="17"/>
  <c r="S280" i="17" s="1"/>
  <c r="N280" i="17"/>
  <c r="O280" i="17" s="1"/>
  <c r="K281" i="17"/>
  <c r="R281" i="17" s="1"/>
  <c r="L281" i="17"/>
  <c r="S281" i="17" s="1"/>
  <c r="N281" i="17"/>
  <c r="O281" i="17" s="1"/>
  <c r="K282" i="17"/>
  <c r="R282" i="17" s="1"/>
  <c r="L282" i="17"/>
  <c r="S282" i="17" s="1"/>
  <c r="N282" i="17"/>
  <c r="O282" i="17" s="1"/>
  <c r="K283" i="17"/>
  <c r="R283" i="17" s="1"/>
  <c r="L283" i="17"/>
  <c r="S283" i="17" s="1"/>
  <c r="N283" i="17"/>
  <c r="O283" i="17" s="1"/>
  <c r="K284" i="17"/>
  <c r="R284" i="17" s="1"/>
  <c r="L284" i="17"/>
  <c r="S284" i="17" s="1"/>
  <c r="N284" i="17"/>
  <c r="O284" i="17" s="1"/>
  <c r="K285" i="17"/>
  <c r="R285" i="17" s="1"/>
  <c r="L285" i="17"/>
  <c r="S285" i="17" s="1"/>
  <c r="N285" i="17"/>
  <c r="O285" i="17" s="1"/>
  <c r="K286" i="17"/>
  <c r="R286" i="17" s="1"/>
  <c r="L286" i="17"/>
  <c r="S286" i="17" s="1"/>
  <c r="N286" i="17"/>
  <c r="O286" i="17" s="1"/>
  <c r="K287" i="17"/>
  <c r="R287" i="17" s="1"/>
  <c r="L287" i="17"/>
  <c r="S287" i="17" s="1"/>
  <c r="N287" i="17"/>
  <c r="O287" i="17" s="1"/>
  <c r="K288" i="17"/>
  <c r="R288" i="17" s="1"/>
  <c r="L288" i="17"/>
  <c r="S288" i="17" s="1"/>
  <c r="N288" i="17"/>
  <c r="O288" i="17" s="1"/>
  <c r="K289" i="17"/>
  <c r="R289" i="17" s="1"/>
  <c r="L289" i="17"/>
  <c r="S289" i="17" s="1"/>
  <c r="N289" i="17"/>
  <c r="O289" i="17" s="1"/>
  <c r="K290" i="17"/>
  <c r="R290" i="17" s="1"/>
  <c r="L290" i="17"/>
  <c r="S290" i="17" s="1"/>
  <c r="N290" i="17"/>
  <c r="O290" i="17" s="1"/>
  <c r="K291" i="17"/>
  <c r="R291" i="17" s="1"/>
  <c r="L291" i="17"/>
  <c r="S291" i="17" s="1"/>
  <c r="N291" i="17"/>
  <c r="O291" i="17" s="1"/>
  <c r="K292" i="17"/>
  <c r="R292" i="17" s="1"/>
  <c r="L292" i="17"/>
  <c r="S292" i="17" s="1"/>
  <c r="N292" i="17"/>
  <c r="O292" i="17" s="1"/>
  <c r="K293" i="17"/>
  <c r="R293" i="17" s="1"/>
  <c r="L293" i="17"/>
  <c r="S293" i="17" s="1"/>
  <c r="N293" i="17"/>
  <c r="O293" i="17" s="1"/>
  <c r="K294" i="17"/>
  <c r="R294" i="17" s="1"/>
  <c r="L294" i="17"/>
  <c r="S294" i="17" s="1"/>
  <c r="N294" i="17"/>
  <c r="O294" i="17" s="1"/>
  <c r="K295" i="17"/>
  <c r="R295" i="17" s="1"/>
  <c r="L295" i="17"/>
  <c r="S295" i="17" s="1"/>
  <c r="N295" i="17"/>
  <c r="O295" i="17" s="1"/>
  <c r="K296" i="17"/>
  <c r="R296" i="17" s="1"/>
  <c r="L296" i="17"/>
  <c r="S296" i="17" s="1"/>
  <c r="N296" i="17"/>
  <c r="O296" i="17" s="1"/>
  <c r="K297" i="17"/>
  <c r="R297" i="17" s="1"/>
  <c r="L297" i="17"/>
  <c r="S297" i="17" s="1"/>
  <c r="N297" i="17"/>
  <c r="O297" i="17" s="1"/>
  <c r="K298" i="17"/>
  <c r="R298" i="17" s="1"/>
  <c r="L298" i="17"/>
  <c r="S298" i="17" s="1"/>
  <c r="N298" i="17"/>
  <c r="O298" i="17" s="1"/>
  <c r="K299" i="17"/>
  <c r="R299" i="17" s="1"/>
  <c r="L299" i="17"/>
  <c r="S299" i="17" s="1"/>
  <c r="N299" i="17"/>
  <c r="O299" i="17" s="1"/>
  <c r="K300" i="17"/>
  <c r="R300" i="17" s="1"/>
  <c r="L300" i="17"/>
  <c r="S300" i="17" s="1"/>
  <c r="N300" i="17"/>
  <c r="O300" i="17" s="1"/>
  <c r="K301" i="17"/>
  <c r="R301" i="17" s="1"/>
  <c r="L301" i="17"/>
  <c r="S301" i="17" s="1"/>
  <c r="N301" i="17"/>
  <c r="O301" i="17" s="1"/>
  <c r="K302" i="17"/>
  <c r="R302" i="17" s="1"/>
  <c r="L302" i="17"/>
  <c r="S302" i="17" s="1"/>
  <c r="N302" i="17"/>
  <c r="O302" i="17" s="1"/>
  <c r="K303" i="17"/>
  <c r="R303" i="17" s="1"/>
  <c r="L303" i="17"/>
  <c r="S303" i="17" s="1"/>
  <c r="N303" i="17"/>
  <c r="O303" i="17" s="1"/>
  <c r="K304" i="17"/>
  <c r="R304" i="17" s="1"/>
  <c r="L304" i="17"/>
  <c r="S304" i="17" s="1"/>
  <c r="N304" i="17"/>
  <c r="O304" i="17" s="1"/>
  <c r="K305" i="17"/>
  <c r="R305" i="17" s="1"/>
  <c r="L305" i="17"/>
  <c r="S305" i="17" s="1"/>
  <c r="N305" i="17"/>
  <c r="O305" i="17" s="1"/>
  <c r="K306" i="17"/>
  <c r="R306" i="17" s="1"/>
  <c r="L306" i="17"/>
  <c r="S306" i="17" s="1"/>
  <c r="N306" i="17"/>
  <c r="O306" i="17" s="1"/>
  <c r="K307" i="17"/>
  <c r="R307" i="17" s="1"/>
  <c r="L307" i="17"/>
  <c r="S307" i="17" s="1"/>
  <c r="N307" i="17"/>
  <c r="O307" i="17" s="1"/>
  <c r="K308" i="17"/>
  <c r="R308" i="17" s="1"/>
  <c r="L308" i="17"/>
  <c r="S308" i="17" s="1"/>
  <c r="N308" i="17"/>
  <c r="O308" i="17" s="1"/>
  <c r="K309" i="17"/>
  <c r="R309" i="17" s="1"/>
  <c r="L309" i="17"/>
  <c r="S309" i="17" s="1"/>
  <c r="N309" i="17"/>
  <c r="O309" i="17" s="1"/>
  <c r="K310" i="17"/>
  <c r="R310" i="17" s="1"/>
  <c r="L310" i="17"/>
  <c r="S310" i="17" s="1"/>
  <c r="N310" i="17"/>
  <c r="O310" i="17" s="1"/>
  <c r="K311" i="17"/>
  <c r="R311" i="17" s="1"/>
  <c r="L311" i="17"/>
  <c r="S311" i="17" s="1"/>
  <c r="N311" i="17"/>
  <c r="O311" i="17" s="1"/>
  <c r="K312" i="17"/>
  <c r="R312" i="17" s="1"/>
  <c r="L312" i="17"/>
  <c r="S312" i="17" s="1"/>
  <c r="N312" i="17"/>
  <c r="O312" i="17" s="1"/>
  <c r="K313" i="17"/>
  <c r="R313" i="17" s="1"/>
  <c r="L313" i="17"/>
  <c r="S313" i="17" s="1"/>
  <c r="N313" i="17"/>
  <c r="O313" i="17" s="1"/>
  <c r="K314" i="17"/>
  <c r="R314" i="17" s="1"/>
  <c r="L314" i="17"/>
  <c r="S314" i="17" s="1"/>
  <c r="N314" i="17"/>
  <c r="O314" i="17" s="1"/>
  <c r="K315" i="17"/>
  <c r="R315" i="17" s="1"/>
  <c r="L315" i="17"/>
  <c r="S315" i="17" s="1"/>
  <c r="N315" i="17"/>
  <c r="O315" i="17" s="1"/>
  <c r="K316" i="17"/>
  <c r="R316" i="17" s="1"/>
  <c r="L316" i="17"/>
  <c r="S316" i="17" s="1"/>
  <c r="N316" i="17"/>
  <c r="O316" i="17" s="1"/>
  <c r="K317" i="17"/>
  <c r="R317" i="17" s="1"/>
  <c r="L317" i="17"/>
  <c r="S317" i="17" s="1"/>
  <c r="N317" i="17"/>
  <c r="O317" i="17" s="1"/>
  <c r="K318" i="17"/>
  <c r="R318" i="17" s="1"/>
  <c r="L318" i="17"/>
  <c r="S318" i="17" s="1"/>
  <c r="N318" i="17"/>
  <c r="O318" i="17" s="1"/>
  <c r="K319" i="17"/>
  <c r="R319" i="17" s="1"/>
  <c r="L319" i="17"/>
  <c r="S319" i="17" s="1"/>
  <c r="N319" i="17"/>
  <c r="O319" i="17" s="1"/>
  <c r="K320" i="17"/>
  <c r="R320" i="17" s="1"/>
  <c r="L320" i="17"/>
  <c r="S320" i="17" s="1"/>
  <c r="N320" i="17"/>
  <c r="O320" i="17" s="1"/>
  <c r="K321" i="17"/>
  <c r="R321" i="17" s="1"/>
  <c r="L321" i="17"/>
  <c r="S321" i="17" s="1"/>
  <c r="N321" i="17"/>
  <c r="O321" i="17" s="1"/>
  <c r="K322" i="17"/>
  <c r="R322" i="17" s="1"/>
  <c r="L322" i="17"/>
  <c r="S322" i="17" s="1"/>
  <c r="N322" i="17"/>
  <c r="O322" i="17" s="1"/>
  <c r="K323" i="17"/>
  <c r="R323" i="17" s="1"/>
  <c r="L323" i="17"/>
  <c r="S323" i="17" s="1"/>
  <c r="N323" i="17"/>
  <c r="O323" i="17" s="1"/>
  <c r="K324" i="17"/>
  <c r="R324" i="17" s="1"/>
  <c r="L324" i="17"/>
  <c r="S324" i="17" s="1"/>
  <c r="N324" i="17"/>
  <c r="O324" i="17" s="1"/>
  <c r="K325" i="17"/>
  <c r="R325" i="17" s="1"/>
  <c r="L325" i="17"/>
  <c r="S325" i="17" s="1"/>
  <c r="N325" i="17"/>
  <c r="O325" i="17" s="1"/>
  <c r="K326" i="17"/>
  <c r="R326" i="17" s="1"/>
  <c r="L326" i="17"/>
  <c r="S326" i="17" s="1"/>
  <c r="N326" i="17"/>
  <c r="O326" i="17" s="1"/>
  <c r="K327" i="17"/>
  <c r="R327" i="17" s="1"/>
  <c r="L327" i="17"/>
  <c r="S327" i="17" s="1"/>
  <c r="N327" i="17"/>
  <c r="O327" i="17" s="1"/>
  <c r="K328" i="17"/>
  <c r="R328" i="17" s="1"/>
  <c r="L328" i="17"/>
  <c r="S328" i="17" s="1"/>
  <c r="N328" i="17"/>
  <c r="O328" i="17" s="1"/>
  <c r="K329" i="17"/>
  <c r="R329" i="17" s="1"/>
  <c r="L329" i="17"/>
  <c r="S329" i="17" s="1"/>
  <c r="N329" i="17"/>
  <c r="O329" i="17" s="1"/>
  <c r="K330" i="17"/>
  <c r="R330" i="17" s="1"/>
  <c r="L330" i="17"/>
  <c r="S330" i="17" s="1"/>
  <c r="N330" i="17"/>
  <c r="O330" i="17" s="1"/>
  <c r="K331" i="17"/>
  <c r="R331" i="17" s="1"/>
  <c r="L331" i="17"/>
  <c r="S331" i="17" s="1"/>
  <c r="N331" i="17"/>
  <c r="O331" i="17" s="1"/>
  <c r="K332" i="17"/>
  <c r="R332" i="17" s="1"/>
  <c r="L332" i="17"/>
  <c r="S332" i="17" s="1"/>
  <c r="N332" i="17"/>
  <c r="O332" i="17" s="1"/>
  <c r="K333" i="17"/>
  <c r="R333" i="17" s="1"/>
  <c r="L333" i="17"/>
  <c r="S333" i="17" s="1"/>
  <c r="N333" i="17"/>
  <c r="O333" i="17" s="1"/>
  <c r="K334" i="17"/>
  <c r="R334" i="17" s="1"/>
  <c r="L334" i="17"/>
  <c r="S334" i="17" s="1"/>
  <c r="N334" i="17"/>
  <c r="O334" i="17" s="1"/>
  <c r="K335" i="17"/>
  <c r="R335" i="17" s="1"/>
  <c r="L335" i="17"/>
  <c r="S335" i="17" s="1"/>
  <c r="N335" i="17"/>
  <c r="O335" i="17" s="1"/>
  <c r="K336" i="17"/>
  <c r="R336" i="17" s="1"/>
  <c r="L336" i="17"/>
  <c r="S336" i="17" s="1"/>
  <c r="N336" i="17"/>
  <c r="O336" i="17" s="1"/>
  <c r="K337" i="17"/>
  <c r="R337" i="17" s="1"/>
  <c r="L337" i="17"/>
  <c r="S337" i="17" s="1"/>
  <c r="N337" i="17"/>
  <c r="O337" i="17" s="1"/>
  <c r="K338" i="17"/>
  <c r="R338" i="17" s="1"/>
  <c r="L338" i="17"/>
  <c r="S338" i="17" s="1"/>
  <c r="N338" i="17"/>
  <c r="O338" i="17" s="1"/>
  <c r="K339" i="17"/>
  <c r="R339" i="17" s="1"/>
  <c r="L339" i="17"/>
  <c r="S339" i="17" s="1"/>
  <c r="N339" i="17"/>
  <c r="O339" i="17" s="1"/>
  <c r="K340" i="17"/>
  <c r="R340" i="17" s="1"/>
  <c r="L340" i="17"/>
  <c r="S340" i="17" s="1"/>
  <c r="N340" i="17"/>
  <c r="O340" i="17" s="1"/>
  <c r="K341" i="17"/>
  <c r="R341" i="17" s="1"/>
  <c r="L341" i="17"/>
  <c r="S341" i="17" s="1"/>
  <c r="N341" i="17"/>
  <c r="O341" i="17" s="1"/>
  <c r="K342" i="17"/>
  <c r="R342" i="17" s="1"/>
  <c r="L342" i="17"/>
  <c r="S342" i="17" s="1"/>
  <c r="N342" i="17"/>
  <c r="O342" i="17" s="1"/>
  <c r="K343" i="17"/>
  <c r="R343" i="17" s="1"/>
  <c r="L343" i="17"/>
  <c r="S343" i="17" s="1"/>
  <c r="N343" i="17"/>
  <c r="O343" i="17" s="1"/>
  <c r="K344" i="17"/>
  <c r="R344" i="17" s="1"/>
  <c r="L344" i="17"/>
  <c r="S344" i="17" s="1"/>
  <c r="N344" i="17"/>
  <c r="O344" i="17" s="1"/>
  <c r="K345" i="17"/>
  <c r="R345" i="17" s="1"/>
  <c r="L345" i="17"/>
  <c r="S345" i="17" s="1"/>
  <c r="N345" i="17"/>
  <c r="O345" i="17" s="1"/>
  <c r="K346" i="17"/>
  <c r="R346" i="17" s="1"/>
  <c r="L346" i="17"/>
  <c r="S346" i="17" s="1"/>
  <c r="N346" i="17"/>
  <c r="O346" i="17" s="1"/>
  <c r="K347" i="17"/>
  <c r="R347" i="17" s="1"/>
  <c r="L347" i="17"/>
  <c r="S347" i="17" s="1"/>
  <c r="N347" i="17"/>
  <c r="O347" i="17" s="1"/>
  <c r="K348" i="17"/>
  <c r="R348" i="17" s="1"/>
  <c r="L348" i="17"/>
  <c r="S348" i="17" s="1"/>
  <c r="N348" i="17"/>
  <c r="O348" i="17" s="1"/>
  <c r="K349" i="17"/>
  <c r="R349" i="17" s="1"/>
  <c r="L349" i="17"/>
  <c r="S349" i="17" s="1"/>
  <c r="N349" i="17"/>
  <c r="O349" i="17" s="1"/>
  <c r="K350" i="17"/>
  <c r="R350" i="17" s="1"/>
  <c r="L350" i="17"/>
  <c r="S350" i="17" s="1"/>
  <c r="N350" i="17"/>
  <c r="O350" i="17" s="1"/>
  <c r="K351" i="17"/>
  <c r="R351" i="17" s="1"/>
  <c r="L351" i="17"/>
  <c r="S351" i="17" s="1"/>
  <c r="N351" i="17"/>
  <c r="O351" i="17" s="1"/>
  <c r="K352" i="17"/>
  <c r="R352" i="17" s="1"/>
  <c r="L352" i="17"/>
  <c r="S352" i="17" s="1"/>
  <c r="N352" i="17"/>
  <c r="O352" i="17" s="1"/>
  <c r="K353" i="17"/>
  <c r="R353" i="17" s="1"/>
  <c r="L353" i="17"/>
  <c r="S353" i="17" s="1"/>
  <c r="N353" i="17"/>
  <c r="O353" i="17" s="1"/>
  <c r="K354" i="17"/>
  <c r="R354" i="17" s="1"/>
  <c r="L354" i="17"/>
  <c r="S354" i="17" s="1"/>
  <c r="N354" i="17"/>
  <c r="O354" i="17" s="1"/>
  <c r="K355" i="17"/>
  <c r="R355" i="17" s="1"/>
  <c r="L355" i="17"/>
  <c r="S355" i="17" s="1"/>
  <c r="N355" i="17"/>
  <c r="O355" i="17" s="1"/>
  <c r="K356" i="17"/>
  <c r="R356" i="17" s="1"/>
  <c r="L356" i="17"/>
  <c r="S356" i="17" s="1"/>
  <c r="N356" i="17"/>
  <c r="O356" i="17" s="1"/>
  <c r="K357" i="17"/>
  <c r="R357" i="17" s="1"/>
  <c r="L357" i="17"/>
  <c r="S357" i="17" s="1"/>
  <c r="N357" i="17"/>
  <c r="O357" i="17" s="1"/>
  <c r="K358" i="17"/>
  <c r="R358" i="17" s="1"/>
  <c r="L358" i="17"/>
  <c r="S358" i="17" s="1"/>
  <c r="N358" i="17"/>
  <c r="O358" i="17" s="1"/>
  <c r="K359" i="17"/>
  <c r="R359" i="17" s="1"/>
  <c r="L359" i="17"/>
  <c r="S359" i="17" s="1"/>
  <c r="N359" i="17"/>
  <c r="O359" i="17" s="1"/>
  <c r="K360" i="17"/>
  <c r="R360" i="17" s="1"/>
  <c r="L360" i="17"/>
  <c r="S360" i="17" s="1"/>
  <c r="N360" i="17"/>
  <c r="O360" i="17" s="1"/>
  <c r="K361" i="17"/>
  <c r="R361" i="17" s="1"/>
  <c r="L361" i="17"/>
  <c r="S361" i="17" s="1"/>
  <c r="N361" i="17"/>
  <c r="O361" i="17" s="1"/>
  <c r="K362" i="17"/>
  <c r="R362" i="17" s="1"/>
  <c r="L362" i="17"/>
  <c r="S362" i="17" s="1"/>
  <c r="N362" i="17"/>
  <c r="O362" i="17" s="1"/>
  <c r="K363" i="17"/>
  <c r="R363" i="17" s="1"/>
  <c r="L363" i="17"/>
  <c r="S363" i="17" s="1"/>
  <c r="N363" i="17"/>
  <c r="O363" i="17" s="1"/>
  <c r="K364" i="17"/>
  <c r="R364" i="17" s="1"/>
  <c r="L364" i="17"/>
  <c r="S364" i="17" s="1"/>
  <c r="N364" i="17"/>
  <c r="O364" i="17" s="1"/>
  <c r="K365" i="17"/>
  <c r="R365" i="17" s="1"/>
  <c r="L365" i="17"/>
  <c r="S365" i="17" s="1"/>
  <c r="N365" i="17"/>
  <c r="O365" i="17" s="1"/>
  <c r="K366" i="17"/>
  <c r="R366" i="17" s="1"/>
  <c r="L366" i="17"/>
  <c r="S366" i="17" s="1"/>
  <c r="N366" i="17"/>
  <c r="O366" i="17" s="1"/>
  <c r="K367" i="17"/>
  <c r="R367" i="17" s="1"/>
  <c r="L367" i="17"/>
  <c r="S367" i="17" s="1"/>
  <c r="N367" i="17"/>
  <c r="O367" i="17" s="1"/>
  <c r="K368" i="17"/>
  <c r="R368" i="17" s="1"/>
  <c r="L368" i="17"/>
  <c r="S368" i="17" s="1"/>
  <c r="N368" i="17"/>
  <c r="O368" i="17" s="1"/>
  <c r="K369" i="17"/>
  <c r="R369" i="17" s="1"/>
  <c r="L369" i="17"/>
  <c r="S369" i="17" s="1"/>
  <c r="N369" i="17"/>
  <c r="O369" i="17" s="1"/>
  <c r="K370" i="17"/>
  <c r="R370" i="17" s="1"/>
  <c r="L370" i="17"/>
  <c r="S370" i="17" s="1"/>
  <c r="N370" i="17"/>
  <c r="O370" i="17" s="1"/>
  <c r="K371" i="17"/>
  <c r="R371" i="17" s="1"/>
  <c r="L371" i="17"/>
  <c r="S371" i="17" s="1"/>
  <c r="N371" i="17"/>
  <c r="O371" i="17" s="1"/>
  <c r="K372" i="17"/>
  <c r="R372" i="17" s="1"/>
  <c r="L372" i="17"/>
  <c r="S372" i="17" s="1"/>
  <c r="N372" i="17"/>
  <c r="O372" i="17" s="1"/>
  <c r="K373" i="17"/>
  <c r="R373" i="17" s="1"/>
  <c r="L373" i="17"/>
  <c r="S373" i="17" s="1"/>
  <c r="N373" i="17"/>
  <c r="O373" i="17" s="1"/>
  <c r="K374" i="17"/>
  <c r="R374" i="17" s="1"/>
  <c r="L374" i="17"/>
  <c r="S374" i="17" s="1"/>
  <c r="N374" i="17"/>
  <c r="O374" i="17" s="1"/>
  <c r="K375" i="17"/>
  <c r="R375" i="17" s="1"/>
  <c r="L375" i="17"/>
  <c r="S375" i="17" s="1"/>
  <c r="N375" i="17"/>
  <c r="O375" i="17" s="1"/>
  <c r="K376" i="17"/>
  <c r="R376" i="17" s="1"/>
  <c r="L376" i="17"/>
  <c r="S376" i="17" s="1"/>
  <c r="N376" i="17"/>
  <c r="O376" i="17" s="1"/>
  <c r="K377" i="17"/>
  <c r="R377" i="17" s="1"/>
  <c r="L377" i="17"/>
  <c r="S377" i="17" s="1"/>
  <c r="N377" i="17"/>
  <c r="O377" i="17" s="1"/>
  <c r="K378" i="17"/>
  <c r="R378" i="17" s="1"/>
  <c r="L378" i="17"/>
  <c r="S378" i="17" s="1"/>
  <c r="N378" i="17"/>
  <c r="O378" i="17" s="1"/>
  <c r="K379" i="17"/>
  <c r="R379" i="17" s="1"/>
  <c r="L379" i="17"/>
  <c r="S379" i="17" s="1"/>
  <c r="N379" i="17"/>
  <c r="O379" i="17" s="1"/>
  <c r="K380" i="17"/>
  <c r="R380" i="17" s="1"/>
  <c r="L380" i="17"/>
  <c r="S380" i="17" s="1"/>
  <c r="N380" i="17"/>
  <c r="O380" i="17" s="1"/>
  <c r="K381" i="17"/>
  <c r="R381" i="17" s="1"/>
  <c r="L381" i="17"/>
  <c r="S381" i="17" s="1"/>
  <c r="N381" i="17"/>
  <c r="O381" i="17" s="1"/>
  <c r="K382" i="17"/>
  <c r="R382" i="17" s="1"/>
  <c r="L382" i="17"/>
  <c r="S382" i="17" s="1"/>
  <c r="N382" i="17"/>
  <c r="O382" i="17" s="1"/>
  <c r="K383" i="17"/>
  <c r="R383" i="17" s="1"/>
  <c r="L383" i="17"/>
  <c r="S383" i="17" s="1"/>
  <c r="N383" i="17"/>
  <c r="O383" i="17" s="1"/>
  <c r="K384" i="17"/>
  <c r="R384" i="17" s="1"/>
  <c r="L384" i="17"/>
  <c r="S384" i="17" s="1"/>
  <c r="N384" i="17"/>
  <c r="O384" i="17" s="1"/>
  <c r="K385" i="17"/>
  <c r="R385" i="17" s="1"/>
  <c r="L385" i="17"/>
  <c r="S385" i="17" s="1"/>
  <c r="N385" i="17"/>
  <c r="O385" i="17" s="1"/>
  <c r="K386" i="17"/>
  <c r="R386" i="17" s="1"/>
  <c r="L386" i="17"/>
  <c r="S386" i="17" s="1"/>
  <c r="N386" i="17"/>
  <c r="O386" i="17" s="1"/>
  <c r="K387" i="17"/>
  <c r="R387" i="17" s="1"/>
  <c r="L387" i="17"/>
  <c r="S387" i="17" s="1"/>
  <c r="N387" i="17"/>
  <c r="O387" i="17" s="1"/>
  <c r="K388" i="17"/>
  <c r="R388" i="17" s="1"/>
  <c r="L388" i="17"/>
  <c r="S388" i="17" s="1"/>
  <c r="N388" i="17"/>
  <c r="O388" i="17" s="1"/>
  <c r="K389" i="17"/>
  <c r="R389" i="17" s="1"/>
  <c r="L389" i="17"/>
  <c r="S389" i="17" s="1"/>
  <c r="N389" i="17"/>
  <c r="O389" i="17" s="1"/>
  <c r="K390" i="17"/>
  <c r="R390" i="17" s="1"/>
  <c r="L390" i="17"/>
  <c r="S390" i="17" s="1"/>
  <c r="N390" i="17"/>
  <c r="O390" i="17" s="1"/>
  <c r="K391" i="17"/>
  <c r="R391" i="17" s="1"/>
  <c r="L391" i="17"/>
  <c r="S391" i="17" s="1"/>
  <c r="N391" i="17"/>
  <c r="O391" i="17" s="1"/>
  <c r="K392" i="17"/>
  <c r="R392" i="17" s="1"/>
  <c r="L392" i="17"/>
  <c r="S392" i="17" s="1"/>
  <c r="N392" i="17"/>
  <c r="O392" i="17" s="1"/>
  <c r="K393" i="17"/>
  <c r="R393" i="17" s="1"/>
  <c r="L393" i="17"/>
  <c r="S393" i="17" s="1"/>
  <c r="N393" i="17"/>
  <c r="O393" i="17" s="1"/>
  <c r="K394" i="17"/>
  <c r="R394" i="17" s="1"/>
  <c r="L394" i="17"/>
  <c r="S394" i="17" s="1"/>
  <c r="N394" i="17"/>
  <c r="O394" i="17" s="1"/>
  <c r="K395" i="17"/>
  <c r="R395" i="17" s="1"/>
  <c r="L395" i="17"/>
  <c r="S395" i="17" s="1"/>
  <c r="N395" i="17"/>
  <c r="O395" i="17" s="1"/>
  <c r="K396" i="17"/>
  <c r="R396" i="17" s="1"/>
  <c r="L396" i="17"/>
  <c r="S396" i="17" s="1"/>
  <c r="N396" i="17"/>
  <c r="O396" i="17" s="1"/>
  <c r="K397" i="17"/>
  <c r="R397" i="17" s="1"/>
  <c r="L397" i="17"/>
  <c r="S397" i="17" s="1"/>
  <c r="N397" i="17"/>
  <c r="O397" i="17" s="1"/>
  <c r="K398" i="17"/>
  <c r="R398" i="17" s="1"/>
  <c r="L398" i="17"/>
  <c r="S398" i="17" s="1"/>
  <c r="N398" i="17"/>
  <c r="O398" i="17" s="1"/>
  <c r="K399" i="17"/>
  <c r="R399" i="17" s="1"/>
  <c r="L399" i="17"/>
  <c r="S399" i="17" s="1"/>
  <c r="N399" i="17"/>
  <c r="O399" i="17" s="1"/>
  <c r="K400" i="17"/>
  <c r="R400" i="17" s="1"/>
  <c r="L400" i="17"/>
  <c r="S400" i="17" s="1"/>
  <c r="N400" i="17"/>
  <c r="O400" i="17" s="1"/>
  <c r="K401" i="17"/>
  <c r="R401" i="17" s="1"/>
  <c r="L401" i="17"/>
  <c r="S401" i="17" s="1"/>
  <c r="N401" i="17"/>
  <c r="O401" i="17" s="1"/>
  <c r="K402" i="17"/>
  <c r="R402" i="17" s="1"/>
  <c r="L402" i="17"/>
  <c r="S402" i="17" s="1"/>
  <c r="N402" i="17"/>
  <c r="O402" i="17" s="1"/>
  <c r="K403" i="17"/>
  <c r="R403" i="17" s="1"/>
  <c r="L403" i="17"/>
  <c r="S403" i="17" s="1"/>
  <c r="N403" i="17"/>
  <c r="O403" i="17" s="1"/>
  <c r="K404" i="17"/>
  <c r="R404" i="17" s="1"/>
  <c r="L404" i="17"/>
  <c r="S404" i="17" s="1"/>
  <c r="N404" i="17"/>
  <c r="O404" i="17" s="1"/>
  <c r="K405" i="17"/>
  <c r="R405" i="17" s="1"/>
  <c r="L405" i="17"/>
  <c r="S405" i="17" s="1"/>
  <c r="N405" i="17"/>
  <c r="O405" i="17" s="1"/>
  <c r="K406" i="17"/>
  <c r="R406" i="17" s="1"/>
  <c r="L406" i="17"/>
  <c r="S406" i="17" s="1"/>
  <c r="N406" i="17"/>
  <c r="O406" i="17" s="1"/>
  <c r="K407" i="17"/>
  <c r="R407" i="17" s="1"/>
  <c r="L407" i="17"/>
  <c r="S407" i="17" s="1"/>
  <c r="N407" i="17"/>
  <c r="O407" i="17" s="1"/>
  <c r="K408" i="17"/>
  <c r="R408" i="17" s="1"/>
  <c r="L408" i="17"/>
  <c r="S408" i="17" s="1"/>
  <c r="N408" i="17"/>
  <c r="O408" i="17" s="1"/>
  <c r="K409" i="17"/>
  <c r="R409" i="17" s="1"/>
  <c r="L409" i="17"/>
  <c r="S409" i="17" s="1"/>
  <c r="N409" i="17"/>
  <c r="O409" i="17" s="1"/>
  <c r="K410" i="17"/>
  <c r="R410" i="17" s="1"/>
  <c r="L410" i="17"/>
  <c r="S410" i="17" s="1"/>
  <c r="N410" i="17"/>
  <c r="O410" i="17" s="1"/>
  <c r="K411" i="17"/>
  <c r="R411" i="17" s="1"/>
  <c r="L411" i="17"/>
  <c r="S411" i="17" s="1"/>
  <c r="N411" i="17"/>
  <c r="O411" i="17" s="1"/>
  <c r="K412" i="17"/>
  <c r="R412" i="17" s="1"/>
  <c r="L412" i="17"/>
  <c r="S412" i="17" s="1"/>
  <c r="N412" i="17"/>
  <c r="O412" i="17" s="1"/>
  <c r="K413" i="17"/>
  <c r="R413" i="17" s="1"/>
  <c r="L413" i="17"/>
  <c r="S413" i="17" s="1"/>
  <c r="N413" i="17"/>
  <c r="O413" i="17" s="1"/>
  <c r="K414" i="17"/>
  <c r="R414" i="17" s="1"/>
  <c r="L414" i="17"/>
  <c r="S414" i="17" s="1"/>
  <c r="N414" i="17"/>
  <c r="O414" i="17" s="1"/>
  <c r="K415" i="17"/>
  <c r="R415" i="17" s="1"/>
  <c r="L415" i="17"/>
  <c r="S415" i="17" s="1"/>
  <c r="N415" i="17"/>
  <c r="O415" i="17" s="1"/>
  <c r="K416" i="17"/>
  <c r="R416" i="17" s="1"/>
  <c r="L416" i="17"/>
  <c r="S416" i="17" s="1"/>
  <c r="N416" i="17"/>
  <c r="O416" i="17" s="1"/>
  <c r="K417" i="17"/>
  <c r="R417" i="17" s="1"/>
  <c r="L417" i="17"/>
  <c r="S417" i="17" s="1"/>
  <c r="N417" i="17"/>
  <c r="O417" i="17" s="1"/>
  <c r="K418" i="17"/>
  <c r="R418" i="17" s="1"/>
  <c r="L418" i="17"/>
  <c r="S418" i="17" s="1"/>
  <c r="N418" i="17"/>
  <c r="O418" i="17" s="1"/>
  <c r="K419" i="17"/>
  <c r="R419" i="17" s="1"/>
  <c r="L419" i="17"/>
  <c r="S419" i="17" s="1"/>
  <c r="N419" i="17"/>
  <c r="O419" i="17" s="1"/>
  <c r="K420" i="17"/>
  <c r="R420" i="17" s="1"/>
  <c r="L420" i="17"/>
  <c r="S420" i="17" s="1"/>
  <c r="N420" i="17"/>
  <c r="O420" i="17" s="1"/>
  <c r="K421" i="17"/>
  <c r="R421" i="17" s="1"/>
  <c r="L421" i="17"/>
  <c r="S421" i="17" s="1"/>
  <c r="N421" i="17"/>
  <c r="O421" i="17" s="1"/>
  <c r="K422" i="17"/>
  <c r="R422" i="17" s="1"/>
  <c r="L422" i="17"/>
  <c r="S422" i="17" s="1"/>
  <c r="N422" i="17"/>
  <c r="O422" i="17" s="1"/>
  <c r="K423" i="17"/>
  <c r="R423" i="17" s="1"/>
  <c r="L423" i="17"/>
  <c r="S423" i="17" s="1"/>
  <c r="N423" i="17"/>
  <c r="O423" i="17" s="1"/>
  <c r="K424" i="17"/>
  <c r="R424" i="17" s="1"/>
  <c r="L424" i="17"/>
  <c r="S424" i="17" s="1"/>
  <c r="N424" i="17"/>
  <c r="O424" i="17" s="1"/>
  <c r="K425" i="17"/>
  <c r="R425" i="17" s="1"/>
  <c r="L425" i="17"/>
  <c r="S425" i="17" s="1"/>
  <c r="N425" i="17"/>
  <c r="O425" i="17" s="1"/>
  <c r="K426" i="17"/>
  <c r="R426" i="17" s="1"/>
  <c r="L426" i="17"/>
  <c r="S426" i="17" s="1"/>
  <c r="N426" i="17"/>
  <c r="O426" i="17" s="1"/>
  <c r="K427" i="17"/>
  <c r="R427" i="17" s="1"/>
  <c r="L427" i="17"/>
  <c r="S427" i="17" s="1"/>
  <c r="N427" i="17"/>
  <c r="O427" i="17" s="1"/>
  <c r="K428" i="17"/>
  <c r="R428" i="17" s="1"/>
  <c r="L428" i="17"/>
  <c r="S428" i="17" s="1"/>
  <c r="N428" i="17"/>
  <c r="O428" i="17" s="1"/>
  <c r="K429" i="17"/>
  <c r="R429" i="17" s="1"/>
  <c r="L429" i="17"/>
  <c r="S429" i="17" s="1"/>
  <c r="N429" i="17"/>
  <c r="O429" i="17" s="1"/>
  <c r="K430" i="17"/>
  <c r="R430" i="17" s="1"/>
  <c r="L430" i="17"/>
  <c r="S430" i="17" s="1"/>
  <c r="N430" i="17"/>
  <c r="O430" i="17" s="1"/>
  <c r="K431" i="17"/>
  <c r="R431" i="17" s="1"/>
  <c r="L431" i="17"/>
  <c r="S431" i="17" s="1"/>
  <c r="N431" i="17"/>
  <c r="O431" i="17" s="1"/>
  <c r="K432" i="17"/>
  <c r="R432" i="17" s="1"/>
  <c r="L432" i="17"/>
  <c r="S432" i="17" s="1"/>
  <c r="N432" i="17"/>
  <c r="O432" i="17" s="1"/>
  <c r="K433" i="17"/>
  <c r="R433" i="17" s="1"/>
  <c r="L433" i="17"/>
  <c r="S433" i="17" s="1"/>
  <c r="N433" i="17"/>
  <c r="O433" i="17" s="1"/>
  <c r="K434" i="17"/>
  <c r="R434" i="17" s="1"/>
  <c r="L434" i="17"/>
  <c r="S434" i="17" s="1"/>
  <c r="N434" i="17"/>
  <c r="O434" i="17" s="1"/>
  <c r="K435" i="17"/>
  <c r="R435" i="17" s="1"/>
  <c r="L435" i="17"/>
  <c r="S435" i="17" s="1"/>
  <c r="N435" i="17"/>
  <c r="O435" i="17" s="1"/>
  <c r="K436" i="17"/>
  <c r="R436" i="17" s="1"/>
  <c r="L436" i="17"/>
  <c r="S436" i="17" s="1"/>
  <c r="N436" i="17"/>
  <c r="O436" i="17" s="1"/>
  <c r="K437" i="17"/>
  <c r="R437" i="17" s="1"/>
  <c r="L437" i="17"/>
  <c r="S437" i="17" s="1"/>
  <c r="N437" i="17"/>
  <c r="O437" i="17" s="1"/>
  <c r="K438" i="17"/>
  <c r="R438" i="17" s="1"/>
  <c r="L438" i="17"/>
  <c r="S438" i="17" s="1"/>
  <c r="N438" i="17"/>
  <c r="O438" i="17" s="1"/>
  <c r="K439" i="17"/>
  <c r="R439" i="17" s="1"/>
  <c r="L439" i="17"/>
  <c r="S439" i="17" s="1"/>
  <c r="N439" i="17"/>
  <c r="O439" i="17" s="1"/>
  <c r="K440" i="17"/>
  <c r="R440" i="17" s="1"/>
  <c r="L440" i="17"/>
  <c r="S440" i="17" s="1"/>
  <c r="N440" i="17"/>
  <c r="O440" i="17" s="1"/>
  <c r="K441" i="17"/>
  <c r="R441" i="17" s="1"/>
  <c r="L441" i="17"/>
  <c r="S441" i="17" s="1"/>
  <c r="N441" i="17"/>
  <c r="O441" i="17" s="1"/>
  <c r="K442" i="17"/>
  <c r="R442" i="17" s="1"/>
  <c r="L442" i="17"/>
  <c r="S442" i="17" s="1"/>
  <c r="N442" i="17"/>
  <c r="O442" i="17" s="1"/>
  <c r="K443" i="17"/>
  <c r="R443" i="17" s="1"/>
  <c r="L443" i="17"/>
  <c r="S443" i="17" s="1"/>
  <c r="N443" i="17"/>
  <c r="O443" i="17" s="1"/>
  <c r="K444" i="17"/>
  <c r="R444" i="17" s="1"/>
  <c r="L444" i="17"/>
  <c r="S444" i="17" s="1"/>
  <c r="N444" i="17"/>
  <c r="O444" i="17" s="1"/>
  <c r="K445" i="17"/>
  <c r="R445" i="17" s="1"/>
  <c r="L445" i="17"/>
  <c r="S445" i="17" s="1"/>
  <c r="N445" i="17"/>
  <c r="O445" i="17" s="1"/>
  <c r="K446" i="17"/>
  <c r="R446" i="17" s="1"/>
  <c r="L446" i="17"/>
  <c r="S446" i="17" s="1"/>
  <c r="N446" i="17"/>
  <c r="O446" i="17" s="1"/>
  <c r="K447" i="17"/>
  <c r="R447" i="17" s="1"/>
  <c r="L447" i="17"/>
  <c r="S447" i="17" s="1"/>
  <c r="N447" i="17"/>
  <c r="O447" i="17" s="1"/>
  <c r="K448" i="17"/>
  <c r="R448" i="17" s="1"/>
  <c r="L448" i="17"/>
  <c r="S448" i="17" s="1"/>
  <c r="N448" i="17"/>
  <c r="O448" i="17" s="1"/>
  <c r="K449" i="17"/>
  <c r="R449" i="17" s="1"/>
  <c r="L449" i="17"/>
  <c r="S449" i="17" s="1"/>
  <c r="N449" i="17"/>
  <c r="O449" i="17" s="1"/>
  <c r="K450" i="17"/>
  <c r="R450" i="17" s="1"/>
  <c r="L450" i="17"/>
  <c r="S450" i="17" s="1"/>
  <c r="N450" i="17"/>
  <c r="O450" i="17" s="1"/>
  <c r="K451" i="17"/>
  <c r="R451" i="17" s="1"/>
  <c r="L451" i="17"/>
  <c r="S451" i="17" s="1"/>
  <c r="N451" i="17"/>
  <c r="O451" i="17" s="1"/>
  <c r="K452" i="17"/>
  <c r="R452" i="17" s="1"/>
  <c r="L452" i="17"/>
  <c r="S452" i="17" s="1"/>
  <c r="N452" i="17"/>
  <c r="O452" i="17" s="1"/>
  <c r="K453" i="17"/>
  <c r="R453" i="17" s="1"/>
  <c r="L453" i="17"/>
  <c r="S453" i="17" s="1"/>
  <c r="N453" i="17"/>
  <c r="O453" i="17" s="1"/>
  <c r="K454" i="17"/>
  <c r="R454" i="17" s="1"/>
  <c r="L454" i="17"/>
  <c r="S454" i="17" s="1"/>
  <c r="N454" i="17"/>
  <c r="O454" i="17" s="1"/>
  <c r="K455" i="17"/>
  <c r="R455" i="17" s="1"/>
  <c r="L455" i="17"/>
  <c r="S455" i="17" s="1"/>
  <c r="N455" i="17"/>
  <c r="O455" i="17" s="1"/>
  <c r="K456" i="17"/>
  <c r="R456" i="17" s="1"/>
  <c r="L456" i="17"/>
  <c r="S456" i="17" s="1"/>
  <c r="N456" i="17"/>
  <c r="O456" i="17" s="1"/>
  <c r="K457" i="17"/>
  <c r="R457" i="17" s="1"/>
  <c r="L457" i="17"/>
  <c r="S457" i="17" s="1"/>
  <c r="N457" i="17"/>
  <c r="O457" i="17" s="1"/>
  <c r="K458" i="17"/>
  <c r="R458" i="17" s="1"/>
  <c r="L458" i="17"/>
  <c r="S458" i="17" s="1"/>
  <c r="N458" i="17"/>
  <c r="O458" i="17" s="1"/>
  <c r="K459" i="17"/>
  <c r="R459" i="17" s="1"/>
  <c r="L459" i="17"/>
  <c r="S459" i="17" s="1"/>
  <c r="N459" i="17"/>
  <c r="O459" i="17" s="1"/>
  <c r="K460" i="17"/>
  <c r="R460" i="17" s="1"/>
  <c r="L460" i="17"/>
  <c r="S460" i="17" s="1"/>
  <c r="N460" i="17"/>
  <c r="O460" i="17" s="1"/>
  <c r="K461" i="17"/>
  <c r="R461" i="17" s="1"/>
  <c r="L461" i="17"/>
  <c r="S461" i="17" s="1"/>
  <c r="N461" i="17"/>
  <c r="O461" i="17" s="1"/>
  <c r="K462" i="17"/>
  <c r="R462" i="17" s="1"/>
  <c r="L462" i="17"/>
  <c r="S462" i="17" s="1"/>
  <c r="N462" i="17"/>
  <c r="O462" i="17" s="1"/>
  <c r="K463" i="17"/>
  <c r="R463" i="17" s="1"/>
  <c r="L463" i="17"/>
  <c r="S463" i="17" s="1"/>
  <c r="N463" i="17"/>
  <c r="O463" i="17" s="1"/>
  <c r="K464" i="17"/>
  <c r="R464" i="17" s="1"/>
  <c r="L464" i="17"/>
  <c r="S464" i="17" s="1"/>
  <c r="N464" i="17"/>
  <c r="O464" i="17" s="1"/>
  <c r="K465" i="17"/>
  <c r="R465" i="17" s="1"/>
  <c r="L465" i="17"/>
  <c r="S465" i="17" s="1"/>
  <c r="N465" i="17"/>
  <c r="O465" i="17" s="1"/>
  <c r="K466" i="17"/>
  <c r="R466" i="17" s="1"/>
  <c r="L466" i="17"/>
  <c r="S466" i="17" s="1"/>
  <c r="N466" i="17"/>
  <c r="O466" i="17" s="1"/>
  <c r="K467" i="17"/>
  <c r="R467" i="17" s="1"/>
  <c r="L467" i="17"/>
  <c r="S467" i="17" s="1"/>
  <c r="N467" i="17"/>
  <c r="O467" i="17" s="1"/>
  <c r="K468" i="17"/>
  <c r="R468" i="17" s="1"/>
  <c r="L468" i="17"/>
  <c r="S468" i="17" s="1"/>
  <c r="N468" i="17"/>
  <c r="O468" i="17" s="1"/>
  <c r="K469" i="17"/>
  <c r="R469" i="17" s="1"/>
  <c r="L469" i="17"/>
  <c r="S469" i="17" s="1"/>
  <c r="N469" i="17"/>
  <c r="O469" i="17" s="1"/>
  <c r="K470" i="17"/>
  <c r="R470" i="17" s="1"/>
  <c r="L470" i="17"/>
  <c r="S470" i="17" s="1"/>
  <c r="N470" i="17"/>
  <c r="O470" i="17" s="1"/>
  <c r="K471" i="17"/>
  <c r="R471" i="17" s="1"/>
  <c r="L471" i="17"/>
  <c r="S471" i="17" s="1"/>
  <c r="N471" i="17"/>
  <c r="O471" i="17" s="1"/>
  <c r="K472" i="17"/>
  <c r="R472" i="17" s="1"/>
  <c r="L472" i="17"/>
  <c r="S472" i="17" s="1"/>
  <c r="N472" i="17"/>
  <c r="O472" i="17" s="1"/>
  <c r="K473" i="17"/>
  <c r="R473" i="17" s="1"/>
  <c r="L473" i="17"/>
  <c r="S473" i="17" s="1"/>
  <c r="N473" i="17"/>
  <c r="O473" i="17" s="1"/>
  <c r="K474" i="17"/>
  <c r="R474" i="17" s="1"/>
  <c r="L474" i="17"/>
  <c r="S474" i="17" s="1"/>
  <c r="N474" i="17"/>
  <c r="O474" i="17" s="1"/>
  <c r="K475" i="17"/>
  <c r="R475" i="17" s="1"/>
  <c r="L475" i="17"/>
  <c r="S475" i="17" s="1"/>
  <c r="N475" i="17"/>
  <c r="O475" i="17" s="1"/>
  <c r="K476" i="17"/>
  <c r="R476" i="17" s="1"/>
  <c r="L476" i="17"/>
  <c r="S476" i="17" s="1"/>
  <c r="N476" i="17"/>
  <c r="O476" i="17" s="1"/>
  <c r="K477" i="17"/>
  <c r="R477" i="17" s="1"/>
  <c r="L477" i="17"/>
  <c r="S477" i="17" s="1"/>
  <c r="N477" i="17"/>
  <c r="O477" i="17" s="1"/>
  <c r="K478" i="17"/>
  <c r="R478" i="17" s="1"/>
  <c r="L478" i="17"/>
  <c r="S478" i="17" s="1"/>
  <c r="N478" i="17"/>
  <c r="O478" i="17" s="1"/>
  <c r="K479" i="17"/>
  <c r="R479" i="17" s="1"/>
  <c r="L479" i="17"/>
  <c r="S479" i="17" s="1"/>
  <c r="N479" i="17"/>
  <c r="O479" i="17" s="1"/>
  <c r="K480" i="17"/>
  <c r="R480" i="17" s="1"/>
  <c r="L480" i="17"/>
  <c r="S480" i="17" s="1"/>
  <c r="N480" i="17"/>
  <c r="O480" i="17" s="1"/>
  <c r="K481" i="17"/>
  <c r="R481" i="17" s="1"/>
  <c r="L481" i="17"/>
  <c r="S481" i="17" s="1"/>
  <c r="N481" i="17"/>
  <c r="O481" i="17" s="1"/>
  <c r="K482" i="17"/>
  <c r="R482" i="17" s="1"/>
  <c r="L482" i="17"/>
  <c r="S482" i="17" s="1"/>
  <c r="N482" i="17"/>
  <c r="O482" i="17" s="1"/>
  <c r="K483" i="17"/>
  <c r="R483" i="17" s="1"/>
  <c r="L483" i="17"/>
  <c r="S483" i="17" s="1"/>
  <c r="N483" i="17"/>
  <c r="O483" i="17" s="1"/>
  <c r="K484" i="17"/>
  <c r="R484" i="17" s="1"/>
  <c r="L484" i="17"/>
  <c r="S484" i="17" s="1"/>
  <c r="N484" i="17"/>
  <c r="O484" i="17" s="1"/>
  <c r="K485" i="17"/>
  <c r="R485" i="17" s="1"/>
  <c r="L485" i="17"/>
  <c r="S485" i="17" s="1"/>
  <c r="N485" i="17"/>
  <c r="O485" i="17" s="1"/>
  <c r="K486" i="17"/>
  <c r="R486" i="17" s="1"/>
  <c r="L486" i="17"/>
  <c r="S486" i="17" s="1"/>
  <c r="N486" i="17"/>
  <c r="O486" i="17" s="1"/>
  <c r="K487" i="17"/>
  <c r="R487" i="17" s="1"/>
  <c r="L487" i="17"/>
  <c r="S487" i="17" s="1"/>
  <c r="N487" i="17"/>
  <c r="O487" i="17" s="1"/>
  <c r="K488" i="17"/>
  <c r="R488" i="17" s="1"/>
  <c r="L488" i="17"/>
  <c r="S488" i="17" s="1"/>
  <c r="N488" i="17"/>
  <c r="O488" i="17" s="1"/>
  <c r="K489" i="17"/>
  <c r="R489" i="17" s="1"/>
  <c r="L489" i="17"/>
  <c r="S489" i="17" s="1"/>
  <c r="N489" i="17"/>
  <c r="O489" i="17" s="1"/>
  <c r="K490" i="17"/>
  <c r="R490" i="17" s="1"/>
  <c r="L490" i="17"/>
  <c r="S490" i="17" s="1"/>
  <c r="N490" i="17"/>
  <c r="O490" i="17" s="1"/>
  <c r="K491" i="17"/>
  <c r="R491" i="17" s="1"/>
  <c r="L491" i="17"/>
  <c r="S491" i="17" s="1"/>
  <c r="N491" i="17"/>
  <c r="O491" i="17" s="1"/>
  <c r="K492" i="17"/>
  <c r="R492" i="17" s="1"/>
  <c r="L492" i="17"/>
  <c r="S492" i="17" s="1"/>
  <c r="N492" i="17"/>
  <c r="O492" i="17" s="1"/>
  <c r="K493" i="17"/>
  <c r="R493" i="17" s="1"/>
  <c r="L493" i="17"/>
  <c r="S493" i="17" s="1"/>
  <c r="N493" i="17"/>
  <c r="O493" i="17" s="1"/>
  <c r="K494" i="17"/>
  <c r="R494" i="17" s="1"/>
  <c r="L494" i="17"/>
  <c r="S494" i="17" s="1"/>
  <c r="N494" i="17"/>
  <c r="O494" i="17" s="1"/>
  <c r="K495" i="17"/>
  <c r="R495" i="17" s="1"/>
  <c r="L495" i="17"/>
  <c r="S495" i="17" s="1"/>
  <c r="N495" i="17"/>
  <c r="O495" i="17" s="1"/>
  <c r="K496" i="17"/>
  <c r="R496" i="17" s="1"/>
  <c r="L496" i="17"/>
  <c r="S496" i="17" s="1"/>
  <c r="N496" i="17"/>
  <c r="O496" i="17" s="1"/>
  <c r="K497" i="17"/>
  <c r="R497" i="17" s="1"/>
  <c r="L497" i="17"/>
  <c r="S497" i="17" s="1"/>
  <c r="N497" i="17"/>
  <c r="O497" i="17" s="1"/>
  <c r="K498" i="17"/>
  <c r="R498" i="17" s="1"/>
  <c r="L498" i="17"/>
  <c r="S498" i="17" s="1"/>
  <c r="N498" i="17"/>
  <c r="O498" i="17" s="1"/>
  <c r="K499" i="17"/>
  <c r="R499" i="17" s="1"/>
  <c r="L499" i="17"/>
  <c r="S499" i="17" s="1"/>
  <c r="N499" i="17"/>
  <c r="O499" i="17" s="1"/>
  <c r="K500" i="17"/>
  <c r="R500" i="17" s="1"/>
  <c r="L500" i="17"/>
  <c r="S500" i="17" s="1"/>
  <c r="N500" i="17"/>
  <c r="O500" i="17" s="1"/>
  <c r="K501" i="17"/>
  <c r="R501" i="17" s="1"/>
  <c r="L501" i="17"/>
  <c r="S501" i="17" s="1"/>
  <c r="N501" i="17"/>
  <c r="O501" i="17" s="1"/>
  <c r="K502" i="17"/>
  <c r="R502" i="17" s="1"/>
  <c r="L502" i="17"/>
  <c r="S502" i="17" s="1"/>
  <c r="N502" i="17"/>
  <c r="O502" i="17" s="1"/>
  <c r="K503" i="17"/>
  <c r="R503" i="17" s="1"/>
  <c r="L503" i="17"/>
  <c r="S503" i="17" s="1"/>
  <c r="N503" i="17"/>
  <c r="O503" i="17" s="1"/>
  <c r="K504" i="17"/>
  <c r="R504" i="17" s="1"/>
  <c r="L504" i="17"/>
  <c r="S504" i="17" s="1"/>
  <c r="N504" i="17"/>
  <c r="O504" i="17" s="1"/>
  <c r="K505" i="17"/>
  <c r="R505" i="17" s="1"/>
  <c r="L505" i="17"/>
  <c r="S505" i="17" s="1"/>
  <c r="N505" i="17"/>
  <c r="O505" i="17" s="1"/>
  <c r="K506" i="17"/>
  <c r="R506" i="17" s="1"/>
  <c r="L506" i="17"/>
  <c r="S506" i="17" s="1"/>
  <c r="N506" i="17"/>
  <c r="O506" i="17" s="1"/>
  <c r="K507" i="17"/>
  <c r="R507" i="17" s="1"/>
  <c r="L507" i="17"/>
  <c r="S507" i="17" s="1"/>
  <c r="N507" i="17"/>
  <c r="O507" i="17" s="1"/>
  <c r="K508" i="17"/>
  <c r="R508" i="17" s="1"/>
  <c r="L508" i="17"/>
  <c r="S508" i="17" s="1"/>
  <c r="N508" i="17"/>
  <c r="O508" i="17" s="1"/>
  <c r="K509" i="17"/>
  <c r="R509" i="17" s="1"/>
  <c r="L509" i="17"/>
  <c r="S509" i="17" s="1"/>
  <c r="N509" i="17"/>
  <c r="O509" i="17" s="1"/>
  <c r="K510" i="17"/>
  <c r="R510" i="17" s="1"/>
  <c r="L510" i="17"/>
  <c r="S510" i="17" s="1"/>
  <c r="N510" i="17"/>
  <c r="O510" i="17" s="1"/>
  <c r="K511" i="17"/>
  <c r="R511" i="17" s="1"/>
  <c r="L511" i="17"/>
  <c r="S511" i="17" s="1"/>
  <c r="N511" i="17"/>
  <c r="O511" i="17" s="1"/>
  <c r="K512" i="17"/>
  <c r="R512" i="17" s="1"/>
  <c r="L512" i="17"/>
  <c r="S512" i="17" s="1"/>
  <c r="N512" i="17"/>
  <c r="O512" i="17" s="1"/>
  <c r="K513" i="17"/>
  <c r="R513" i="17" s="1"/>
  <c r="L513" i="17"/>
  <c r="S513" i="17" s="1"/>
  <c r="N513" i="17"/>
  <c r="O513" i="17" s="1"/>
  <c r="K514" i="17"/>
  <c r="R514" i="17" s="1"/>
  <c r="L514" i="17"/>
  <c r="S514" i="17" s="1"/>
  <c r="N514" i="17"/>
  <c r="O514" i="17" s="1"/>
  <c r="K515" i="17"/>
  <c r="R515" i="17" s="1"/>
  <c r="L515" i="17"/>
  <c r="S515" i="17" s="1"/>
  <c r="N515" i="17"/>
  <c r="O515" i="17" s="1"/>
  <c r="K516" i="17"/>
  <c r="R516" i="17" s="1"/>
  <c r="L516" i="17"/>
  <c r="S516" i="17" s="1"/>
  <c r="N516" i="17"/>
  <c r="O516" i="17" s="1"/>
  <c r="K517" i="17"/>
  <c r="R517" i="17" s="1"/>
  <c r="L517" i="17"/>
  <c r="S517" i="17" s="1"/>
  <c r="N517" i="17"/>
  <c r="O517" i="17" s="1"/>
  <c r="K518" i="17"/>
  <c r="R518" i="17" s="1"/>
  <c r="L518" i="17"/>
  <c r="S518" i="17" s="1"/>
  <c r="N518" i="17"/>
  <c r="O518" i="17" s="1"/>
  <c r="K519" i="17"/>
  <c r="R519" i="17" s="1"/>
  <c r="L519" i="17"/>
  <c r="S519" i="17" s="1"/>
  <c r="N519" i="17"/>
  <c r="O519" i="17" s="1"/>
  <c r="K520" i="17"/>
  <c r="R520" i="17" s="1"/>
  <c r="L520" i="17"/>
  <c r="S520" i="17" s="1"/>
  <c r="N520" i="17"/>
  <c r="O520" i="17" s="1"/>
  <c r="K521" i="17"/>
  <c r="R521" i="17" s="1"/>
  <c r="L521" i="17"/>
  <c r="S521" i="17" s="1"/>
  <c r="N521" i="17"/>
  <c r="O521" i="17" s="1"/>
  <c r="K522" i="17"/>
  <c r="R522" i="17" s="1"/>
  <c r="L522" i="17"/>
  <c r="S522" i="17" s="1"/>
  <c r="N522" i="17"/>
  <c r="O522" i="17" s="1"/>
  <c r="K523" i="17"/>
  <c r="R523" i="17" s="1"/>
  <c r="L523" i="17"/>
  <c r="S523" i="17" s="1"/>
  <c r="N523" i="17"/>
  <c r="O523" i="17" s="1"/>
  <c r="K524" i="17"/>
  <c r="R524" i="17" s="1"/>
  <c r="L524" i="17"/>
  <c r="S524" i="17" s="1"/>
  <c r="N524" i="17"/>
  <c r="O524" i="17" s="1"/>
  <c r="K525" i="17"/>
  <c r="R525" i="17" s="1"/>
  <c r="L525" i="17"/>
  <c r="S525" i="17" s="1"/>
  <c r="N525" i="17"/>
  <c r="O525" i="17" s="1"/>
  <c r="K526" i="17"/>
  <c r="R526" i="17" s="1"/>
  <c r="L526" i="17"/>
  <c r="S526" i="17" s="1"/>
  <c r="N526" i="17"/>
  <c r="O526" i="17" s="1"/>
  <c r="K527" i="17"/>
  <c r="R527" i="17" s="1"/>
  <c r="L527" i="17"/>
  <c r="S527" i="17" s="1"/>
  <c r="N527" i="17"/>
  <c r="O527" i="17" s="1"/>
  <c r="K528" i="17"/>
  <c r="R528" i="17" s="1"/>
  <c r="L528" i="17"/>
  <c r="S528" i="17" s="1"/>
  <c r="N528" i="17"/>
  <c r="O528" i="17" s="1"/>
  <c r="K529" i="17"/>
  <c r="R529" i="17" s="1"/>
  <c r="L529" i="17"/>
  <c r="S529" i="17" s="1"/>
  <c r="N529" i="17"/>
  <c r="O529" i="17" s="1"/>
  <c r="K530" i="17"/>
  <c r="R530" i="17" s="1"/>
  <c r="L530" i="17"/>
  <c r="S530" i="17" s="1"/>
  <c r="N530" i="17"/>
  <c r="O530" i="17" s="1"/>
  <c r="K531" i="17"/>
  <c r="R531" i="17" s="1"/>
  <c r="L531" i="17"/>
  <c r="S531" i="17" s="1"/>
  <c r="N531" i="17"/>
  <c r="O531" i="17" s="1"/>
  <c r="K532" i="17"/>
  <c r="R532" i="17" s="1"/>
  <c r="L532" i="17"/>
  <c r="S532" i="17" s="1"/>
  <c r="N532" i="17"/>
  <c r="O532" i="17" s="1"/>
  <c r="K533" i="17"/>
  <c r="R533" i="17" s="1"/>
  <c r="L533" i="17"/>
  <c r="S533" i="17" s="1"/>
  <c r="N533" i="17"/>
  <c r="O533" i="17" s="1"/>
  <c r="K534" i="17"/>
  <c r="R534" i="17" s="1"/>
  <c r="L534" i="17"/>
  <c r="S534" i="17" s="1"/>
  <c r="N534" i="17"/>
  <c r="O534" i="17" s="1"/>
  <c r="K535" i="17"/>
  <c r="R535" i="17" s="1"/>
  <c r="L535" i="17"/>
  <c r="S535" i="17" s="1"/>
  <c r="N535" i="17"/>
  <c r="O535" i="17" s="1"/>
  <c r="K536" i="17"/>
  <c r="R536" i="17" s="1"/>
  <c r="L536" i="17"/>
  <c r="S536" i="17" s="1"/>
  <c r="N536" i="17"/>
  <c r="O536" i="17" s="1"/>
  <c r="K537" i="17"/>
  <c r="R537" i="17" s="1"/>
  <c r="L537" i="17"/>
  <c r="S537" i="17" s="1"/>
  <c r="N537" i="17"/>
  <c r="O537" i="17" s="1"/>
  <c r="K538" i="17"/>
  <c r="R538" i="17" s="1"/>
  <c r="L538" i="17"/>
  <c r="S538" i="17" s="1"/>
  <c r="N538" i="17"/>
  <c r="O538" i="17" s="1"/>
  <c r="K539" i="17"/>
  <c r="R539" i="17" s="1"/>
  <c r="L539" i="17"/>
  <c r="S539" i="17" s="1"/>
  <c r="N539" i="17"/>
  <c r="O539" i="17" s="1"/>
  <c r="K540" i="17"/>
  <c r="R540" i="17" s="1"/>
  <c r="L540" i="17"/>
  <c r="S540" i="17" s="1"/>
  <c r="N540" i="17"/>
  <c r="O540" i="17" s="1"/>
  <c r="K541" i="17"/>
  <c r="R541" i="17" s="1"/>
  <c r="L541" i="17"/>
  <c r="S541" i="17" s="1"/>
  <c r="N541" i="17"/>
  <c r="O541" i="17" s="1"/>
  <c r="K542" i="17"/>
  <c r="R542" i="17" s="1"/>
  <c r="L542" i="17"/>
  <c r="S542" i="17" s="1"/>
  <c r="N542" i="17"/>
  <c r="O542" i="17" s="1"/>
  <c r="K543" i="17"/>
  <c r="R543" i="17" s="1"/>
  <c r="L543" i="17"/>
  <c r="S543" i="17" s="1"/>
  <c r="N543" i="17"/>
  <c r="O543" i="17" s="1"/>
  <c r="K544" i="17"/>
  <c r="R544" i="17" s="1"/>
  <c r="L544" i="17"/>
  <c r="S544" i="17" s="1"/>
  <c r="N544" i="17"/>
  <c r="O544" i="17" s="1"/>
  <c r="K545" i="17"/>
  <c r="R545" i="17" s="1"/>
  <c r="L545" i="17"/>
  <c r="S545" i="17" s="1"/>
  <c r="N545" i="17"/>
  <c r="O545" i="17" s="1"/>
  <c r="K546" i="17"/>
  <c r="R546" i="17" s="1"/>
  <c r="L546" i="17"/>
  <c r="S546" i="17" s="1"/>
  <c r="N546" i="17"/>
  <c r="O546" i="17" s="1"/>
  <c r="K547" i="17"/>
  <c r="R547" i="17" s="1"/>
  <c r="L547" i="17"/>
  <c r="S547" i="17" s="1"/>
  <c r="N547" i="17"/>
  <c r="O547" i="17" s="1"/>
  <c r="K548" i="17"/>
  <c r="R548" i="17" s="1"/>
  <c r="L548" i="17"/>
  <c r="S548" i="17" s="1"/>
  <c r="N548" i="17"/>
  <c r="O548" i="17" s="1"/>
  <c r="K549" i="17"/>
  <c r="R549" i="17" s="1"/>
  <c r="L549" i="17"/>
  <c r="S549" i="17" s="1"/>
  <c r="N549" i="17"/>
  <c r="O549" i="17" s="1"/>
  <c r="K550" i="17"/>
  <c r="R550" i="17" s="1"/>
  <c r="L550" i="17"/>
  <c r="S550" i="17" s="1"/>
  <c r="N550" i="17"/>
  <c r="O550" i="17" s="1"/>
  <c r="K551" i="17"/>
  <c r="R551" i="17" s="1"/>
  <c r="L551" i="17"/>
  <c r="S551" i="17" s="1"/>
  <c r="N551" i="17"/>
  <c r="O551" i="17" s="1"/>
  <c r="K552" i="17"/>
  <c r="R552" i="17" s="1"/>
  <c r="L552" i="17"/>
  <c r="S552" i="17" s="1"/>
  <c r="N552" i="17"/>
  <c r="O552" i="17" s="1"/>
  <c r="K553" i="17"/>
  <c r="R553" i="17" s="1"/>
  <c r="L553" i="17"/>
  <c r="S553" i="17" s="1"/>
  <c r="N553" i="17"/>
  <c r="O553" i="17" s="1"/>
  <c r="K554" i="17"/>
  <c r="R554" i="17" s="1"/>
  <c r="L554" i="17"/>
  <c r="S554" i="17" s="1"/>
  <c r="N554" i="17"/>
  <c r="O554" i="17" s="1"/>
  <c r="K555" i="17"/>
  <c r="R555" i="17" s="1"/>
  <c r="L555" i="17"/>
  <c r="S555" i="17" s="1"/>
  <c r="N555" i="17"/>
  <c r="O555" i="17" s="1"/>
  <c r="K556" i="17"/>
  <c r="R556" i="17" s="1"/>
  <c r="L556" i="17"/>
  <c r="S556" i="17" s="1"/>
  <c r="N556" i="17"/>
  <c r="O556" i="17" s="1"/>
  <c r="K557" i="17"/>
  <c r="R557" i="17" s="1"/>
  <c r="L557" i="17"/>
  <c r="S557" i="17" s="1"/>
  <c r="N557" i="17"/>
  <c r="O557" i="17" s="1"/>
  <c r="K558" i="17"/>
  <c r="R558" i="17" s="1"/>
  <c r="L558" i="17"/>
  <c r="S558" i="17" s="1"/>
  <c r="N558" i="17"/>
  <c r="O558" i="17" s="1"/>
  <c r="K559" i="17"/>
  <c r="R559" i="17" s="1"/>
  <c r="L559" i="17"/>
  <c r="S559" i="17" s="1"/>
  <c r="N559" i="17"/>
  <c r="O559" i="17" s="1"/>
  <c r="K560" i="17"/>
  <c r="R560" i="17" s="1"/>
  <c r="L560" i="17"/>
  <c r="S560" i="17" s="1"/>
  <c r="N560" i="17"/>
  <c r="O560" i="17" s="1"/>
  <c r="K561" i="17"/>
  <c r="R561" i="17" s="1"/>
  <c r="L561" i="17"/>
  <c r="S561" i="17" s="1"/>
  <c r="N561" i="17"/>
  <c r="O561" i="17" s="1"/>
  <c r="K562" i="17"/>
  <c r="R562" i="17" s="1"/>
  <c r="L562" i="17"/>
  <c r="S562" i="17" s="1"/>
  <c r="N562" i="17"/>
  <c r="O562" i="17" s="1"/>
  <c r="K563" i="17"/>
  <c r="R563" i="17" s="1"/>
  <c r="L563" i="17"/>
  <c r="S563" i="17" s="1"/>
  <c r="N563" i="17"/>
  <c r="O563" i="17" s="1"/>
  <c r="K564" i="17"/>
  <c r="R564" i="17" s="1"/>
  <c r="L564" i="17"/>
  <c r="S564" i="17" s="1"/>
  <c r="N564" i="17"/>
  <c r="O564" i="17" s="1"/>
  <c r="K565" i="17"/>
  <c r="R565" i="17" s="1"/>
  <c r="L565" i="17"/>
  <c r="S565" i="17" s="1"/>
  <c r="N565" i="17"/>
  <c r="O565" i="17" s="1"/>
  <c r="K566" i="17"/>
  <c r="R566" i="17" s="1"/>
  <c r="L566" i="17"/>
  <c r="S566" i="17" s="1"/>
  <c r="N566" i="17"/>
  <c r="O566" i="17" s="1"/>
  <c r="K567" i="17"/>
  <c r="R567" i="17" s="1"/>
  <c r="L567" i="17"/>
  <c r="S567" i="17" s="1"/>
  <c r="N567" i="17"/>
  <c r="O567" i="17" s="1"/>
  <c r="K568" i="17"/>
  <c r="R568" i="17" s="1"/>
  <c r="L568" i="17"/>
  <c r="S568" i="17" s="1"/>
  <c r="N568" i="17"/>
  <c r="O568" i="17" s="1"/>
  <c r="K569" i="17"/>
  <c r="R569" i="17" s="1"/>
  <c r="L569" i="17"/>
  <c r="S569" i="17" s="1"/>
  <c r="N569" i="17"/>
  <c r="O569" i="17" s="1"/>
  <c r="K570" i="17"/>
  <c r="R570" i="17" s="1"/>
  <c r="L570" i="17"/>
  <c r="S570" i="17" s="1"/>
  <c r="N570" i="17"/>
  <c r="O570" i="17" s="1"/>
  <c r="K571" i="17"/>
  <c r="R571" i="17" s="1"/>
  <c r="L571" i="17"/>
  <c r="S571" i="17" s="1"/>
  <c r="N571" i="17"/>
  <c r="O571" i="17" s="1"/>
  <c r="K572" i="17"/>
  <c r="R572" i="17" s="1"/>
  <c r="L572" i="17"/>
  <c r="S572" i="17" s="1"/>
  <c r="N572" i="17"/>
  <c r="O572" i="17" s="1"/>
  <c r="K573" i="17"/>
  <c r="R573" i="17" s="1"/>
  <c r="L573" i="17"/>
  <c r="S573" i="17" s="1"/>
  <c r="N573" i="17"/>
  <c r="O573" i="17" s="1"/>
  <c r="K574" i="17"/>
  <c r="R574" i="17" s="1"/>
  <c r="L574" i="17"/>
  <c r="S574" i="17" s="1"/>
  <c r="N574" i="17"/>
  <c r="O574" i="17" s="1"/>
  <c r="K575" i="17"/>
  <c r="R575" i="17" s="1"/>
  <c r="L575" i="17"/>
  <c r="S575" i="17" s="1"/>
  <c r="N575" i="17"/>
  <c r="O575" i="17" s="1"/>
  <c r="K576" i="17"/>
  <c r="R576" i="17" s="1"/>
  <c r="L576" i="17"/>
  <c r="S576" i="17" s="1"/>
  <c r="N576" i="17"/>
  <c r="O576" i="17" s="1"/>
  <c r="K577" i="17"/>
  <c r="R577" i="17" s="1"/>
  <c r="L577" i="17"/>
  <c r="S577" i="17" s="1"/>
  <c r="N577" i="17"/>
  <c r="O577" i="17" s="1"/>
  <c r="K578" i="17"/>
  <c r="R578" i="17" s="1"/>
  <c r="L578" i="17"/>
  <c r="S578" i="17" s="1"/>
  <c r="N578" i="17"/>
  <c r="O578" i="17" s="1"/>
  <c r="K579" i="17"/>
  <c r="R579" i="17" s="1"/>
  <c r="L579" i="17"/>
  <c r="S579" i="17" s="1"/>
  <c r="N579" i="17"/>
  <c r="O579" i="17" s="1"/>
  <c r="K580" i="17"/>
  <c r="R580" i="17" s="1"/>
  <c r="L580" i="17"/>
  <c r="S580" i="17" s="1"/>
  <c r="N580" i="17"/>
  <c r="O580" i="17" s="1"/>
  <c r="K581" i="17"/>
  <c r="R581" i="17" s="1"/>
  <c r="L581" i="17"/>
  <c r="S581" i="17" s="1"/>
  <c r="N581" i="17"/>
  <c r="O581" i="17" s="1"/>
  <c r="K582" i="17"/>
  <c r="R582" i="17" s="1"/>
  <c r="L582" i="17"/>
  <c r="S582" i="17" s="1"/>
  <c r="N582" i="17"/>
  <c r="O582" i="17" s="1"/>
  <c r="K583" i="17"/>
  <c r="R583" i="17" s="1"/>
  <c r="L583" i="17"/>
  <c r="S583" i="17" s="1"/>
  <c r="N583" i="17"/>
  <c r="O583" i="17" s="1"/>
  <c r="K584" i="17"/>
  <c r="R584" i="17" s="1"/>
  <c r="L584" i="17"/>
  <c r="S584" i="17" s="1"/>
  <c r="N584" i="17"/>
  <c r="O584" i="17" s="1"/>
  <c r="K585" i="17"/>
  <c r="R585" i="17" s="1"/>
  <c r="L585" i="17"/>
  <c r="S585" i="17" s="1"/>
  <c r="N585" i="17"/>
  <c r="O585" i="17" s="1"/>
  <c r="K586" i="17"/>
  <c r="R586" i="17" s="1"/>
  <c r="L586" i="17"/>
  <c r="S586" i="17" s="1"/>
  <c r="N586" i="17"/>
  <c r="O586" i="17" s="1"/>
  <c r="K587" i="17"/>
  <c r="R587" i="17" s="1"/>
  <c r="L587" i="17"/>
  <c r="S587" i="17" s="1"/>
  <c r="N587" i="17"/>
  <c r="O587" i="17" s="1"/>
  <c r="K588" i="17"/>
  <c r="R588" i="17" s="1"/>
  <c r="L588" i="17"/>
  <c r="S588" i="17" s="1"/>
  <c r="N588" i="17"/>
  <c r="O588" i="17" s="1"/>
  <c r="K589" i="17"/>
  <c r="R589" i="17" s="1"/>
  <c r="L589" i="17"/>
  <c r="S589" i="17" s="1"/>
  <c r="N589" i="17"/>
  <c r="O589" i="17" s="1"/>
  <c r="K590" i="17"/>
  <c r="R590" i="17" s="1"/>
  <c r="L590" i="17"/>
  <c r="S590" i="17" s="1"/>
  <c r="N590" i="17"/>
  <c r="O590" i="17" s="1"/>
  <c r="K591" i="17"/>
  <c r="R591" i="17" s="1"/>
  <c r="L591" i="17"/>
  <c r="S591" i="17" s="1"/>
  <c r="N591" i="17"/>
  <c r="O591" i="17" s="1"/>
  <c r="K592" i="17"/>
  <c r="R592" i="17" s="1"/>
  <c r="L592" i="17"/>
  <c r="S592" i="17" s="1"/>
  <c r="N592" i="17"/>
  <c r="O592" i="17" s="1"/>
  <c r="K593" i="17"/>
  <c r="R593" i="17" s="1"/>
  <c r="L593" i="17"/>
  <c r="S593" i="17" s="1"/>
  <c r="N593" i="17"/>
  <c r="O593" i="17" s="1"/>
  <c r="K594" i="17"/>
  <c r="R594" i="17" s="1"/>
  <c r="L594" i="17"/>
  <c r="S594" i="17" s="1"/>
  <c r="N594" i="17"/>
  <c r="O594" i="17" s="1"/>
  <c r="K595" i="17"/>
  <c r="R595" i="17" s="1"/>
  <c r="L595" i="17"/>
  <c r="S595" i="17" s="1"/>
  <c r="N595" i="17"/>
  <c r="O595" i="17" s="1"/>
  <c r="K596" i="17"/>
  <c r="R596" i="17" s="1"/>
  <c r="L596" i="17"/>
  <c r="S596" i="17" s="1"/>
  <c r="N596" i="17"/>
  <c r="O596" i="17" s="1"/>
  <c r="K597" i="17"/>
  <c r="R597" i="17" s="1"/>
  <c r="L597" i="17"/>
  <c r="S597" i="17" s="1"/>
  <c r="N597" i="17"/>
  <c r="O597" i="17" s="1"/>
  <c r="K598" i="17"/>
  <c r="R598" i="17" s="1"/>
  <c r="L598" i="17"/>
  <c r="S598" i="17" s="1"/>
  <c r="N598" i="17"/>
  <c r="O598" i="17" s="1"/>
  <c r="K599" i="17"/>
  <c r="R599" i="17" s="1"/>
  <c r="L599" i="17"/>
  <c r="S599" i="17" s="1"/>
  <c r="N599" i="17"/>
  <c r="O599" i="17" s="1"/>
  <c r="K600" i="17"/>
  <c r="R600" i="17" s="1"/>
  <c r="L600" i="17"/>
  <c r="S600" i="17" s="1"/>
  <c r="N600" i="17"/>
  <c r="O600" i="17" s="1"/>
  <c r="K601" i="17"/>
  <c r="R601" i="17" s="1"/>
  <c r="L601" i="17"/>
  <c r="S601" i="17" s="1"/>
  <c r="N601" i="17"/>
  <c r="O601" i="17" s="1"/>
  <c r="K602" i="17"/>
  <c r="R602" i="17" s="1"/>
  <c r="L602" i="17"/>
  <c r="S602" i="17" s="1"/>
  <c r="N602" i="17"/>
  <c r="O602" i="17" s="1"/>
  <c r="K603" i="17"/>
  <c r="R603" i="17" s="1"/>
  <c r="L603" i="17"/>
  <c r="S603" i="17" s="1"/>
  <c r="N603" i="17"/>
  <c r="O603" i="17" s="1"/>
  <c r="K604" i="17"/>
  <c r="R604" i="17" s="1"/>
  <c r="L604" i="17"/>
  <c r="S604" i="17" s="1"/>
  <c r="N604" i="17"/>
  <c r="O604" i="17" s="1"/>
  <c r="K605" i="17"/>
  <c r="R605" i="17" s="1"/>
  <c r="L605" i="17"/>
  <c r="S605" i="17" s="1"/>
  <c r="N605" i="17"/>
  <c r="O605" i="17" s="1"/>
  <c r="K606" i="17"/>
  <c r="R606" i="17" s="1"/>
  <c r="L606" i="17"/>
  <c r="S606" i="17" s="1"/>
  <c r="N606" i="17"/>
  <c r="O606" i="17" s="1"/>
  <c r="K607" i="17"/>
  <c r="R607" i="17" s="1"/>
  <c r="L607" i="17"/>
  <c r="S607" i="17" s="1"/>
  <c r="N607" i="17"/>
  <c r="O607" i="17" s="1"/>
  <c r="K608" i="17"/>
  <c r="R608" i="17" s="1"/>
  <c r="L608" i="17"/>
  <c r="S608" i="17" s="1"/>
  <c r="N608" i="17"/>
  <c r="O608" i="17" s="1"/>
  <c r="K609" i="17"/>
  <c r="R609" i="17" s="1"/>
  <c r="L609" i="17"/>
  <c r="S609" i="17" s="1"/>
  <c r="N609" i="17"/>
  <c r="O609" i="17" s="1"/>
  <c r="K610" i="17"/>
  <c r="R610" i="17" s="1"/>
  <c r="L610" i="17"/>
  <c r="S610" i="17" s="1"/>
  <c r="N610" i="17"/>
  <c r="O610" i="17" s="1"/>
  <c r="K611" i="17"/>
  <c r="R611" i="17" s="1"/>
  <c r="L611" i="17"/>
  <c r="S611" i="17" s="1"/>
  <c r="N611" i="17"/>
  <c r="O611" i="17" s="1"/>
  <c r="K612" i="17"/>
  <c r="R612" i="17" s="1"/>
  <c r="L612" i="17"/>
  <c r="S612" i="17" s="1"/>
  <c r="N612" i="17"/>
  <c r="O612" i="17" s="1"/>
  <c r="K613" i="17"/>
  <c r="R613" i="17" s="1"/>
  <c r="L613" i="17"/>
  <c r="S613" i="17" s="1"/>
  <c r="N613" i="17"/>
  <c r="O613" i="17" s="1"/>
  <c r="K614" i="17"/>
  <c r="R614" i="17" s="1"/>
  <c r="L614" i="17"/>
  <c r="S614" i="17" s="1"/>
  <c r="N614" i="17"/>
  <c r="O614" i="17" s="1"/>
  <c r="K615" i="17"/>
  <c r="R615" i="17" s="1"/>
  <c r="L615" i="17"/>
  <c r="S615" i="17" s="1"/>
  <c r="N615" i="17"/>
  <c r="O615" i="17" s="1"/>
  <c r="K616" i="17"/>
  <c r="R616" i="17" s="1"/>
  <c r="L616" i="17"/>
  <c r="S616" i="17" s="1"/>
  <c r="N616" i="17"/>
  <c r="O616" i="17" s="1"/>
  <c r="K617" i="17"/>
  <c r="R617" i="17" s="1"/>
  <c r="L617" i="17"/>
  <c r="S617" i="17" s="1"/>
  <c r="N617" i="17"/>
  <c r="O617" i="17" s="1"/>
  <c r="K618" i="17"/>
  <c r="R618" i="17" s="1"/>
  <c r="L618" i="17"/>
  <c r="S618" i="17" s="1"/>
  <c r="N618" i="17"/>
  <c r="O618" i="17" s="1"/>
  <c r="K619" i="17"/>
  <c r="R619" i="17" s="1"/>
  <c r="L619" i="17"/>
  <c r="S619" i="17" s="1"/>
  <c r="N619" i="17"/>
  <c r="O619" i="17" s="1"/>
  <c r="K620" i="17"/>
  <c r="R620" i="17" s="1"/>
  <c r="L620" i="17"/>
  <c r="S620" i="17" s="1"/>
  <c r="N620" i="17"/>
  <c r="O620" i="17" s="1"/>
  <c r="K621" i="17"/>
  <c r="R621" i="17" s="1"/>
  <c r="L621" i="17"/>
  <c r="S621" i="17" s="1"/>
  <c r="N621" i="17"/>
  <c r="O621" i="17" s="1"/>
  <c r="K622" i="17"/>
  <c r="R622" i="17" s="1"/>
  <c r="L622" i="17"/>
  <c r="S622" i="17" s="1"/>
  <c r="N622" i="17"/>
  <c r="O622" i="17" s="1"/>
  <c r="K623" i="17"/>
  <c r="R623" i="17" s="1"/>
  <c r="L623" i="17"/>
  <c r="S623" i="17" s="1"/>
  <c r="N623" i="17"/>
  <c r="O623" i="17" s="1"/>
  <c r="K624" i="17"/>
  <c r="R624" i="17" s="1"/>
  <c r="L624" i="17"/>
  <c r="S624" i="17" s="1"/>
  <c r="N624" i="17"/>
  <c r="O624" i="17" s="1"/>
  <c r="K625" i="17"/>
  <c r="R625" i="17" s="1"/>
  <c r="L625" i="17"/>
  <c r="S625" i="17" s="1"/>
  <c r="N625" i="17"/>
  <c r="O625" i="17" s="1"/>
  <c r="K626" i="17"/>
  <c r="R626" i="17" s="1"/>
  <c r="L626" i="17"/>
  <c r="S626" i="17" s="1"/>
  <c r="N626" i="17"/>
  <c r="O626" i="17" s="1"/>
  <c r="K627" i="17"/>
  <c r="R627" i="17" s="1"/>
  <c r="L627" i="17"/>
  <c r="S627" i="17" s="1"/>
  <c r="N627" i="17"/>
  <c r="O627" i="17" s="1"/>
  <c r="K628" i="17"/>
  <c r="R628" i="17" s="1"/>
  <c r="L628" i="17"/>
  <c r="S628" i="17" s="1"/>
  <c r="N628" i="17"/>
  <c r="O628" i="17" s="1"/>
  <c r="K629" i="17"/>
  <c r="R629" i="17" s="1"/>
  <c r="L629" i="17"/>
  <c r="S629" i="17" s="1"/>
  <c r="N629" i="17"/>
  <c r="O629" i="17" s="1"/>
  <c r="K630" i="17"/>
  <c r="R630" i="17" s="1"/>
  <c r="L630" i="17"/>
  <c r="S630" i="17" s="1"/>
  <c r="N630" i="17"/>
  <c r="O630" i="17" s="1"/>
  <c r="K631" i="17"/>
  <c r="R631" i="17" s="1"/>
  <c r="L631" i="17"/>
  <c r="S631" i="17" s="1"/>
  <c r="N631" i="17"/>
  <c r="O631" i="17" s="1"/>
  <c r="K632" i="17"/>
  <c r="R632" i="17" s="1"/>
  <c r="L632" i="17"/>
  <c r="S632" i="17" s="1"/>
  <c r="N632" i="17"/>
  <c r="O632" i="17" s="1"/>
  <c r="K633" i="17"/>
  <c r="R633" i="17" s="1"/>
  <c r="L633" i="17"/>
  <c r="S633" i="17" s="1"/>
  <c r="N633" i="17"/>
  <c r="O633" i="17" s="1"/>
  <c r="K634" i="17"/>
  <c r="R634" i="17" s="1"/>
  <c r="L634" i="17"/>
  <c r="S634" i="17" s="1"/>
  <c r="N634" i="17"/>
  <c r="O634" i="17" s="1"/>
  <c r="K635" i="17"/>
  <c r="R635" i="17" s="1"/>
  <c r="L635" i="17"/>
  <c r="S635" i="17" s="1"/>
  <c r="N635" i="17"/>
  <c r="O635" i="17" s="1"/>
  <c r="K636" i="17"/>
  <c r="R636" i="17" s="1"/>
  <c r="L636" i="17"/>
  <c r="S636" i="17" s="1"/>
  <c r="N636" i="17"/>
  <c r="O636" i="17" s="1"/>
  <c r="K637" i="17"/>
  <c r="R637" i="17" s="1"/>
  <c r="L637" i="17"/>
  <c r="S637" i="17" s="1"/>
  <c r="N637" i="17"/>
  <c r="O637" i="17" s="1"/>
  <c r="K638" i="17"/>
  <c r="R638" i="17" s="1"/>
  <c r="L638" i="17"/>
  <c r="S638" i="17" s="1"/>
  <c r="N638" i="17"/>
  <c r="O638" i="17" s="1"/>
  <c r="K639" i="17"/>
  <c r="R639" i="17" s="1"/>
  <c r="L639" i="17"/>
  <c r="S639" i="17" s="1"/>
  <c r="N639" i="17"/>
  <c r="O639" i="17" s="1"/>
  <c r="K640" i="17"/>
  <c r="R640" i="17" s="1"/>
  <c r="L640" i="17"/>
  <c r="S640" i="17" s="1"/>
  <c r="N640" i="17"/>
  <c r="O640" i="17" s="1"/>
  <c r="K641" i="17"/>
  <c r="R641" i="17" s="1"/>
  <c r="L641" i="17"/>
  <c r="S641" i="17" s="1"/>
  <c r="N641" i="17"/>
  <c r="O641" i="17" s="1"/>
  <c r="K642" i="17"/>
  <c r="R642" i="17" s="1"/>
  <c r="L642" i="17"/>
  <c r="S642" i="17" s="1"/>
  <c r="N642" i="17"/>
  <c r="O642" i="17" s="1"/>
  <c r="K643" i="17"/>
  <c r="R643" i="17" s="1"/>
  <c r="L643" i="17"/>
  <c r="S643" i="17" s="1"/>
  <c r="N643" i="17"/>
  <c r="O643" i="17" s="1"/>
  <c r="K644" i="17"/>
  <c r="R644" i="17" s="1"/>
  <c r="L644" i="17"/>
  <c r="S644" i="17" s="1"/>
  <c r="N644" i="17"/>
  <c r="O644" i="17" s="1"/>
  <c r="K645" i="17"/>
  <c r="R645" i="17" s="1"/>
  <c r="L645" i="17"/>
  <c r="S645" i="17" s="1"/>
  <c r="N645" i="17"/>
  <c r="O645" i="17" s="1"/>
  <c r="K646" i="17"/>
  <c r="R646" i="17" s="1"/>
  <c r="L646" i="17"/>
  <c r="S646" i="17" s="1"/>
  <c r="N646" i="17"/>
  <c r="O646" i="17" s="1"/>
  <c r="K647" i="17"/>
  <c r="R647" i="17" s="1"/>
  <c r="L647" i="17"/>
  <c r="S647" i="17" s="1"/>
  <c r="N647" i="17"/>
  <c r="O647" i="17" s="1"/>
  <c r="K648" i="17"/>
  <c r="R648" i="17" s="1"/>
  <c r="L648" i="17"/>
  <c r="S648" i="17" s="1"/>
  <c r="N648" i="17"/>
  <c r="O648" i="17" s="1"/>
  <c r="K649" i="17"/>
  <c r="R649" i="17" s="1"/>
  <c r="L649" i="17"/>
  <c r="S649" i="17" s="1"/>
  <c r="N649" i="17"/>
  <c r="O649" i="17" s="1"/>
  <c r="K650" i="17"/>
  <c r="R650" i="17" s="1"/>
  <c r="L650" i="17"/>
  <c r="S650" i="17" s="1"/>
  <c r="N650" i="17"/>
  <c r="O650" i="17" s="1"/>
  <c r="K651" i="17"/>
  <c r="R651" i="17" s="1"/>
  <c r="L651" i="17"/>
  <c r="S651" i="17" s="1"/>
  <c r="N651" i="17"/>
  <c r="O651" i="17" s="1"/>
  <c r="K652" i="17"/>
  <c r="R652" i="17" s="1"/>
  <c r="L652" i="17"/>
  <c r="S652" i="17" s="1"/>
  <c r="N652" i="17"/>
  <c r="O652" i="17" s="1"/>
  <c r="K653" i="17"/>
  <c r="R653" i="17" s="1"/>
  <c r="L653" i="17"/>
  <c r="S653" i="17" s="1"/>
  <c r="N653" i="17"/>
  <c r="O653" i="17" s="1"/>
  <c r="K654" i="17"/>
  <c r="R654" i="17" s="1"/>
  <c r="L654" i="17"/>
  <c r="S654" i="17" s="1"/>
  <c r="N654" i="17"/>
  <c r="O654" i="17" s="1"/>
  <c r="K655" i="17"/>
  <c r="R655" i="17" s="1"/>
  <c r="L655" i="17"/>
  <c r="S655" i="17" s="1"/>
  <c r="N655" i="17"/>
  <c r="O655" i="17" s="1"/>
  <c r="K656" i="17"/>
  <c r="R656" i="17" s="1"/>
  <c r="L656" i="17"/>
  <c r="S656" i="17" s="1"/>
  <c r="N656" i="17"/>
  <c r="O656" i="17" s="1"/>
  <c r="K657" i="17"/>
  <c r="R657" i="17" s="1"/>
  <c r="L657" i="17"/>
  <c r="S657" i="17" s="1"/>
  <c r="N657" i="17"/>
  <c r="O657" i="17" s="1"/>
  <c r="K658" i="17"/>
  <c r="R658" i="17" s="1"/>
  <c r="L658" i="17"/>
  <c r="S658" i="17" s="1"/>
  <c r="N658" i="17"/>
  <c r="O658" i="17" s="1"/>
  <c r="K659" i="17"/>
  <c r="R659" i="17" s="1"/>
  <c r="L659" i="17"/>
  <c r="S659" i="17" s="1"/>
  <c r="N659" i="17"/>
  <c r="O659" i="17" s="1"/>
  <c r="K660" i="17"/>
  <c r="R660" i="17" s="1"/>
  <c r="L660" i="17"/>
  <c r="S660" i="17" s="1"/>
  <c r="N660" i="17"/>
  <c r="O660" i="17" s="1"/>
  <c r="K661" i="17"/>
  <c r="R661" i="17" s="1"/>
  <c r="L661" i="17"/>
  <c r="S661" i="17" s="1"/>
  <c r="N661" i="17"/>
  <c r="O661" i="17" s="1"/>
  <c r="K662" i="17"/>
  <c r="R662" i="17" s="1"/>
  <c r="L662" i="17"/>
  <c r="S662" i="17" s="1"/>
  <c r="N662" i="17"/>
  <c r="O662" i="17" s="1"/>
  <c r="K663" i="17"/>
  <c r="R663" i="17" s="1"/>
  <c r="L663" i="17"/>
  <c r="S663" i="17" s="1"/>
  <c r="N663" i="17"/>
  <c r="O663" i="17" s="1"/>
  <c r="K664" i="17"/>
  <c r="R664" i="17" s="1"/>
  <c r="L664" i="17"/>
  <c r="S664" i="17" s="1"/>
  <c r="N664" i="17"/>
  <c r="O664" i="17" s="1"/>
  <c r="K665" i="17"/>
  <c r="R665" i="17" s="1"/>
  <c r="L665" i="17"/>
  <c r="S665" i="17" s="1"/>
  <c r="N665" i="17"/>
  <c r="O665" i="17" s="1"/>
  <c r="K666" i="17"/>
  <c r="R666" i="17" s="1"/>
  <c r="L666" i="17"/>
  <c r="S666" i="17" s="1"/>
  <c r="N666" i="17"/>
  <c r="O666" i="17" s="1"/>
  <c r="K667" i="17"/>
  <c r="R667" i="17" s="1"/>
  <c r="L667" i="17"/>
  <c r="S667" i="17" s="1"/>
  <c r="N667" i="17"/>
  <c r="O667" i="17" s="1"/>
  <c r="K668" i="17"/>
  <c r="R668" i="17" s="1"/>
  <c r="L668" i="17"/>
  <c r="S668" i="17" s="1"/>
  <c r="N668" i="17"/>
  <c r="O668" i="17" s="1"/>
  <c r="K669" i="17"/>
  <c r="R669" i="17" s="1"/>
  <c r="L669" i="17"/>
  <c r="S669" i="17" s="1"/>
  <c r="N669" i="17"/>
  <c r="O669" i="17" s="1"/>
  <c r="K670" i="17"/>
  <c r="R670" i="17" s="1"/>
  <c r="L670" i="17"/>
  <c r="S670" i="17" s="1"/>
  <c r="N670" i="17"/>
  <c r="O670" i="17" s="1"/>
  <c r="K671" i="17"/>
  <c r="R671" i="17" s="1"/>
  <c r="L671" i="17"/>
  <c r="S671" i="17" s="1"/>
  <c r="N671" i="17"/>
  <c r="O671" i="17" s="1"/>
  <c r="K672" i="17"/>
  <c r="R672" i="17" s="1"/>
  <c r="L672" i="17"/>
  <c r="S672" i="17" s="1"/>
  <c r="N672" i="17"/>
  <c r="O672" i="17" s="1"/>
  <c r="K673" i="17"/>
  <c r="R673" i="17" s="1"/>
  <c r="L673" i="17"/>
  <c r="S673" i="17" s="1"/>
  <c r="N673" i="17"/>
  <c r="O673" i="17" s="1"/>
  <c r="K674" i="17"/>
  <c r="R674" i="17" s="1"/>
  <c r="L674" i="17"/>
  <c r="S674" i="17" s="1"/>
  <c r="N674" i="17"/>
  <c r="O674" i="17" s="1"/>
  <c r="K675" i="17"/>
  <c r="R675" i="17" s="1"/>
  <c r="L675" i="17"/>
  <c r="S675" i="17" s="1"/>
  <c r="N675" i="17"/>
  <c r="O675" i="17" s="1"/>
  <c r="K676" i="17"/>
  <c r="R676" i="17" s="1"/>
  <c r="L676" i="17"/>
  <c r="S676" i="17" s="1"/>
  <c r="N676" i="17"/>
  <c r="O676" i="17" s="1"/>
  <c r="K677" i="17"/>
  <c r="R677" i="17" s="1"/>
  <c r="L677" i="17"/>
  <c r="S677" i="17" s="1"/>
  <c r="N677" i="17"/>
  <c r="O677" i="17" s="1"/>
  <c r="K678" i="17"/>
  <c r="R678" i="17" s="1"/>
  <c r="L678" i="17"/>
  <c r="S678" i="17" s="1"/>
  <c r="N678" i="17"/>
  <c r="O678" i="17" s="1"/>
  <c r="K679" i="17"/>
  <c r="R679" i="17" s="1"/>
  <c r="L679" i="17"/>
  <c r="S679" i="17" s="1"/>
  <c r="N679" i="17"/>
  <c r="O679" i="17" s="1"/>
  <c r="K680" i="17"/>
  <c r="R680" i="17" s="1"/>
  <c r="L680" i="17"/>
  <c r="S680" i="17" s="1"/>
  <c r="N680" i="17"/>
  <c r="O680" i="17" s="1"/>
  <c r="K681" i="17"/>
  <c r="R681" i="17" s="1"/>
  <c r="L681" i="17"/>
  <c r="S681" i="17" s="1"/>
  <c r="N681" i="17"/>
  <c r="O681" i="17" s="1"/>
  <c r="K682" i="17"/>
  <c r="R682" i="17" s="1"/>
  <c r="L682" i="17"/>
  <c r="S682" i="17" s="1"/>
  <c r="N682" i="17"/>
  <c r="O682" i="17" s="1"/>
  <c r="K683" i="17"/>
  <c r="R683" i="17" s="1"/>
  <c r="L683" i="17"/>
  <c r="S683" i="17" s="1"/>
  <c r="N683" i="17"/>
  <c r="O683" i="17" s="1"/>
  <c r="K684" i="17"/>
  <c r="R684" i="17" s="1"/>
  <c r="L684" i="17"/>
  <c r="S684" i="17" s="1"/>
  <c r="N684" i="17"/>
  <c r="O684" i="17" s="1"/>
  <c r="K685" i="17"/>
  <c r="R685" i="17" s="1"/>
  <c r="L685" i="17"/>
  <c r="S685" i="17" s="1"/>
  <c r="N685" i="17"/>
  <c r="O685" i="17" s="1"/>
  <c r="K686" i="17"/>
  <c r="R686" i="17" s="1"/>
  <c r="L686" i="17"/>
  <c r="S686" i="17" s="1"/>
  <c r="N686" i="17"/>
  <c r="O686" i="17" s="1"/>
  <c r="K687" i="17"/>
  <c r="R687" i="17" s="1"/>
  <c r="L687" i="17"/>
  <c r="S687" i="17" s="1"/>
  <c r="N687" i="17"/>
  <c r="O687" i="17" s="1"/>
  <c r="K688" i="17"/>
  <c r="R688" i="17" s="1"/>
  <c r="L688" i="17"/>
  <c r="S688" i="17" s="1"/>
  <c r="N688" i="17"/>
  <c r="O688" i="17" s="1"/>
  <c r="K689" i="17"/>
  <c r="R689" i="17" s="1"/>
  <c r="L689" i="17"/>
  <c r="S689" i="17" s="1"/>
  <c r="N689" i="17"/>
  <c r="O689" i="17" s="1"/>
  <c r="K690" i="17"/>
  <c r="R690" i="17" s="1"/>
  <c r="L690" i="17"/>
  <c r="S690" i="17" s="1"/>
  <c r="N690" i="17"/>
  <c r="O690" i="17" s="1"/>
  <c r="K691" i="17"/>
  <c r="R691" i="17" s="1"/>
  <c r="L691" i="17"/>
  <c r="S691" i="17" s="1"/>
  <c r="N691" i="17"/>
  <c r="O691" i="17" s="1"/>
  <c r="K692" i="17"/>
  <c r="R692" i="17" s="1"/>
  <c r="L692" i="17"/>
  <c r="S692" i="17" s="1"/>
  <c r="N692" i="17"/>
  <c r="O692" i="17" s="1"/>
  <c r="K693" i="17"/>
  <c r="R693" i="17" s="1"/>
  <c r="L693" i="17"/>
  <c r="S693" i="17" s="1"/>
  <c r="N693" i="17"/>
  <c r="O693" i="17" s="1"/>
  <c r="K694" i="17"/>
  <c r="R694" i="17" s="1"/>
  <c r="L694" i="17"/>
  <c r="S694" i="17" s="1"/>
  <c r="N694" i="17"/>
  <c r="O694" i="17" s="1"/>
  <c r="K695" i="17"/>
  <c r="R695" i="17" s="1"/>
  <c r="L695" i="17"/>
  <c r="S695" i="17" s="1"/>
  <c r="N695" i="17"/>
  <c r="O695" i="17" s="1"/>
  <c r="K696" i="17"/>
  <c r="R696" i="17" s="1"/>
  <c r="L696" i="17"/>
  <c r="S696" i="17" s="1"/>
  <c r="N696" i="17"/>
  <c r="O696" i="17" s="1"/>
  <c r="K697" i="17"/>
  <c r="R697" i="17" s="1"/>
  <c r="L697" i="17"/>
  <c r="S697" i="17" s="1"/>
  <c r="N697" i="17"/>
  <c r="O697" i="17" s="1"/>
  <c r="K698" i="17"/>
  <c r="R698" i="17" s="1"/>
  <c r="L698" i="17"/>
  <c r="S698" i="17" s="1"/>
  <c r="N698" i="17"/>
  <c r="O698" i="17" s="1"/>
  <c r="K699" i="17"/>
  <c r="R699" i="17" s="1"/>
  <c r="L699" i="17"/>
  <c r="S699" i="17" s="1"/>
  <c r="N699" i="17"/>
  <c r="O699" i="17" s="1"/>
  <c r="K700" i="17"/>
  <c r="R700" i="17" s="1"/>
  <c r="L700" i="17"/>
  <c r="S700" i="17" s="1"/>
  <c r="N700" i="17"/>
  <c r="O700" i="17" s="1"/>
  <c r="K701" i="17"/>
  <c r="R701" i="17" s="1"/>
  <c r="L701" i="17"/>
  <c r="S701" i="17" s="1"/>
  <c r="N701" i="17"/>
  <c r="O701" i="17" s="1"/>
  <c r="K702" i="17"/>
  <c r="R702" i="17" s="1"/>
  <c r="L702" i="17"/>
  <c r="S702" i="17" s="1"/>
  <c r="N702" i="17"/>
  <c r="O702" i="17" s="1"/>
  <c r="K703" i="17"/>
  <c r="R703" i="17" s="1"/>
  <c r="L703" i="17"/>
  <c r="S703" i="17" s="1"/>
  <c r="N703" i="17"/>
  <c r="O703" i="17" s="1"/>
  <c r="K704" i="17"/>
  <c r="R704" i="17" s="1"/>
  <c r="L704" i="17"/>
  <c r="S704" i="17" s="1"/>
  <c r="N704" i="17"/>
  <c r="O704" i="17" s="1"/>
  <c r="K705" i="17"/>
  <c r="R705" i="17" s="1"/>
  <c r="L705" i="17"/>
  <c r="S705" i="17" s="1"/>
  <c r="N705" i="17"/>
  <c r="O705" i="17" s="1"/>
  <c r="K706" i="17"/>
  <c r="R706" i="17" s="1"/>
  <c r="L706" i="17"/>
  <c r="S706" i="17" s="1"/>
  <c r="N706" i="17"/>
  <c r="O706" i="17" s="1"/>
  <c r="K707" i="17"/>
  <c r="R707" i="17" s="1"/>
  <c r="L707" i="17"/>
  <c r="S707" i="17" s="1"/>
  <c r="N707" i="17"/>
  <c r="O707" i="17" s="1"/>
  <c r="K708" i="17"/>
  <c r="R708" i="17" s="1"/>
  <c r="L708" i="17"/>
  <c r="S708" i="17" s="1"/>
  <c r="N708" i="17"/>
  <c r="O708" i="17" s="1"/>
  <c r="K709" i="17"/>
  <c r="R709" i="17" s="1"/>
  <c r="L709" i="17"/>
  <c r="S709" i="17" s="1"/>
  <c r="N709" i="17"/>
  <c r="O709" i="17" s="1"/>
  <c r="K710" i="17"/>
  <c r="R710" i="17" s="1"/>
  <c r="L710" i="17"/>
  <c r="S710" i="17" s="1"/>
  <c r="N710" i="17"/>
  <c r="O710" i="17" s="1"/>
  <c r="K711" i="17"/>
  <c r="R711" i="17" s="1"/>
  <c r="L711" i="17"/>
  <c r="S711" i="17" s="1"/>
  <c r="N711" i="17"/>
  <c r="O711" i="17" s="1"/>
  <c r="K712" i="17"/>
  <c r="R712" i="17" s="1"/>
  <c r="L712" i="17"/>
  <c r="S712" i="17" s="1"/>
  <c r="N712" i="17"/>
  <c r="O712" i="17" s="1"/>
  <c r="K713" i="17"/>
  <c r="R713" i="17" s="1"/>
  <c r="L713" i="17"/>
  <c r="S713" i="17" s="1"/>
  <c r="N713" i="17"/>
  <c r="O713" i="17" s="1"/>
  <c r="K714" i="17"/>
  <c r="R714" i="17" s="1"/>
  <c r="L714" i="17"/>
  <c r="S714" i="17" s="1"/>
  <c r="N714" i="17"/>
  <c r="O714" i="17" s="1"/>
  <c r="K715" i="17"/>
  <c r="R715" i="17" s="1"/>
  <c r="L715" i="17"/>
  <c r="S715" i="17" s="1"/>
  <c r="N715" i="17"/>
  <c r="O715" i="17" s="1"/>
  <c r="K716" i="17"/>
  <c r="R716" i="17" s="1"/>
  <c r="L716" i="17"/>
  <c r="S716" i="17" s="1"/>
  <c r="N716" i="17"/>
  <c r="O716" i="17" s="1"/>
  <c r="K717" i="17"/>
  <c r="R717" i="17" s="1"/>
  <c r="L717" i="17"/>
  <c r="S717" i="17" s="1"/>
  <c r="N717" i="17"/>
  <c r="O717" i="17" s="1"/>
  <c r="K718" i="17"/>
  <c r="R718" i="17" s="1"/>
  <c r="L718" i="17"/>
  <c r="S718" i="17" s="1"/>
  <c r="N718" i="17"/>
  <c r="O718" i="17" s="1"/>
  <c r="K719" i="17"/>
  <c r="R719" i="17" s="1"/>
  <c r="L719" i="17"/>
  <c r="S719" i="17" s="1"/>
  <c r="N719" i="17"/>
  <c r="O719" i="17" s="1"/>
  <c r="K720" i="17"/>
  <c r="R720" i="17" s="1"/>
  <c r="L720" i="17"/>
  <c r="S720" i="17" s="1"/>
  <c r="N720" i="17"/>
  <c r="O720" i="17" s="1"/>
  <c r="K721" i="17"/>
  <c r="R721" i="17" s="1"/>
  <c r="L721" i="17"/>
  <c r="S721" i="17" s="1"/>
  <c r="N721" i="17"/>
  <c r="O721" i="17" s="1"/>
  <c r="K722" i="17"/>
  <c r="R722" i="17" s="1"/>
  <c r="L722" i="17"/>
  <c r="S722" i="17" s="1"/>
  <c r="N722" i="17"/>
  <c r="O722" i="17" s="1"/>
  <c r="K723" i="17"/>
  <c r="R723" i="17" s="1"/>
  <c r="L723" i="17"/>
  <c r="S723" i="17" s="1"/>
  <c r="N723" i="17"/>
  <c r="O723" i="17" s="1"/>
  <c r="K724" i="17"/>
  <c r="R724" i="17" s="1"/>
  <c r="L724" i="17"/>
  <c r="S724" i="17" s="1"/>
  <c r="N724" i="17"/>
  <c r="O724" i="17" s="1"/>
  <c r="K725" i="17"/>
  <c r="R725" i="17" s="1"/>
  <c r="L725" i="17"/>
  <c r="S725" i="17" s="1"/>
  <c r="N725" i="17"/>
  <c r="O725" i="17" s="1"/>
  <c r="K726" i="17"/>
  <c r="R726" i="17" s="1"/>
  <c r="L726" i="17"/>
  <c r="S726" i="17" s="1"/>
  <c r="N726" i="17"/>
  <c r="O726" i="17" s="1"/>
  <c r="K727" i="17"/>
  <c r="R727" i="17" s="1"/>
  <c r="L727" i="17"/>
  <c r="S727" i="17" s="1"/>
  <c r="N727" i="17"/>
  <c r="O727" i="17" s="1"/>
  <c r="K728" i="17"/>
  <c r="R728" i="17" s="1"/>
  <c r="L728" i="17"/>
  <c r="S728" i="17" s="1"/>
  <c r="N728" i="17"/>
  <c r="O728" i="17" s="1"/>
  <c r="K729" i="17"/>
  <c r="R729" i="17" s="1"/>
  <c r="L729" i="17"/>
  <c r="S729" i="17" s="1"/>
  <c r="N729" i="17"/>
  <c r="O729" i="17" s="1"/>
  <c r="K730" i="17"/>
  <c r="R730" i="17" s="1"/>
  <c r="L730" i="17"/>
  <c r="S730" i="17" s="1"/>
  <c r="N730" i="17"/>
  <c r="O730" i="17" s="1"/>
  <c r="K731" i="17"/>
  <c r="R731" i="17" s="1"/>
  <c r="L731" i="17"/>
  <c r="S731" i="17" s="1"/>
  <c r="N731" i="17"/>
  <c r="O731" i="17" s="1"/>
  <c r="K732" i="17"/>
  <c r="R732" i="17" s="1"/>
  <c r="L732" i="17"/>
  <c r="S732" i="17" s="1"/>
  <c r="N732" i="17"/>
  <c r="O732" i="17" s="1"/>
  <c r="K733" i="17"/>
  <c r="R733" i="17" s="1"/>
  <c r="L733" i="17"/>
  <c r="S733" i="17" s="1"/>
  <c r="N733" i="17"/>
  <c r="O733" i="17" s="1"/>
  <c r="K734" i="17"/>
  <c r="R734" i="17" s="1"/>
  <c r="L734" i="17"/>
  <c r="S734" i="17" s="1"/>
  <c r="N734" i="17"/>
  <c r="O734" i="17" s="1"/>
  <c r="K735" i="17"/>
  <c r="R735" i="17" s="1"/>
  <c r="L735" i="17"/>
  <c r="S735" i="17" s="1"/>
  <c r="N735" i="17"/>
  <c r="O735" i="17" s="1"/>
  <c r="K736" i="17"/>
  <c r="R736" i="17" s="1"/>
  <c r="L736" i="17"/>
  <c r="S736" i="17" s="1"/>
  <c r="N736" i="17"/>
  <c r="O736" i="17" s="1"/>
  <c r="K737" i="17"/>
  <c r="R737" i="17" s="1"/>
  <c r="L737" i="17"/>
  <c r="S737" i="17" s="1"/>
  <c r="N737" i="17"/>
  <c r="O737" i="17" s="1"/>
  <c r="K738" i="17"/>
  <c r="R738" i="17" s="1"/>
  <c r="L738" i="17"/>
  <c r="S738" i="17" s="1"/>
  <c r="N738" i="17"/>
  <c r="O738" i="17" s="1"/>
  <c r="K739" i="17"/>
  <c r="R739" i="17" s="1"/>
  <c r="L739" i="17"/>
  <c r="S739" i="17" s="1"/>
  <c r="N739" i="17"/>
  <c r="O739" i="17" s="1"/>
  <c r="K740" i="17"/>
  <c r="R740" i="17" s="1"/>
  <c r="L740" i="17"/>
  <c r="S740" i="17" s="1"/>
  <c r="N740" i="17"/>
  <c r="O740" i="17" s="1"/>
  <c r="K741" i="17"/>
  <c r="R741" i="17" s="1"/>
  <c r="L741" i="17"/>
  <c r="S741" i="17" s="1"/>
  <c r="N741" i="17"/>
  <c r="O741" i="17" s="1"/>
  <c r="K742" i="17"/>
  <c r="R742" i="17" s="1"/>
  <c r="L742" i="17"/>
  <c r="S742" i="17" s="1"/>
  <c r="N742" i="17"/>
  <c r="O742" i="17" s="1"/>
  <c r="K743" i="17"/>
  <c r="R743" i="17" s="1"/>
  <c r="L743" i="17"/>
  <c r="S743" i="17" s="1"/>
  <c r="N743" i="17"/>
  <c r="O743" i="17" s="1"/>
  <c r="K744" i="17"/>
  <c r="R744" i="17" s="1"/>
  <c r="L744" i="17"/>
  <c r="S744" i="17" s="1"/>
  <c r="N744" i="17"/>
  <c r="O744" i="17" s="1"/>
  <c r="K745" i="17"/>
  <c r="R745" i="17" s="1"/>
  <c r="L745" i="17"/>
  <c r="S745" i="17" s="1"/>
  <c r="N745" i="17"/>
  <c r="O745" i="17" s="1"/>
  <c r="K746" i="17"/>
  <c r="R746" i="17" s="1"/>
  <c r="L746" i="17"/>
  <c r="S746" i="17" s="1"/>
  <c r="N746" i="17"/>
  <c r="O746" i="17" s="1"/>
  <c r="K747" i="17"/>
  <c r="R747" i="17" s="1"/>
  <c r="L747" i="17"/>
  <c r="S747" i="17" s="1"/>
  <c r="N747" i="17"/>
  <c r="O747" i="17" s="1"/>
  <c r="K748" i="17"/>
  <c r="R748" i="17" s="1"/>
  <c r="L748" i="17"/>
  <c r="S748" i="17" s="1"/>
  <c r="N748" i="17"/>
  <c r="O748" i="17" s="1"/>
  <c r="K749" i="17"/>
  <c r="R749" i="17" s="1"/>
  <c r="L749" i="17"/>
  <c r="S749" i="17" s="1"/>
  <c r="N749" i="17"/>
  <c r="O749" i="17" s="1"/>
  <c r="K750" i="17"/>
  <c r="R750" i="17" s="1"/>
  <c r="L750" i="17"/>
  <c r="S750" i="17" s="1"/>
  <c r="N750" i="17"/>
  <c r="O750" i="17" s="1"/>
  <c r="K751" i="17"/>
  <c r="R751" i="17" s="1"/>
  <c r="L751" i="17"/>
  <c r="S751" i="17" s="1"/>
  <c r="N751" i="17"/>
  <c r="O751" i="17" s="1"/>
  <c r="K752" i="17"/>
  <c r="R752" i="17" s="1"/>
  <c r="L752" i="17"/>
  <c r="S752" i="17" s="1"/>
  <c r="N752" i="17"/>
  <c r="O752" i="17" s="1"/>
  <c r="K753" i="17"/>
  <c r="R753" i="17" s="1"/>
  <c r="L753" i="17"/>
  <c r="S753" i="17" s="1"/>
  <c r="N753" i="17"/>
  <c r="O753" i="17" s="1"/>
  <c r="K754" i="17"/>
  <c r="R754" i="17" s="1"/>
  <c r="L754" i="17"/>
  <c r="S754" i="17" s="1"/>
  <c r="N754" i="17"/>
  <c r="O754" i="17" s="1"/>
  <c r="K755" i="17"/>
  <c r="R755" i="17" s="1"/>
  <c r="L755" i="17"/>
  <c r="S755" i="17" s="1"/>
  <c r="N755" i="17"/>
  <c r="O755" i="17" s="1"/>
  <c r="K756" i="17"/>
  <c r="R756" i="17" s="1"/>
  <c r="L756" i="17"/>
  <c r="S756" i="17" s="1"/>
  <c r="N756" i="17"/>
  <c r="O756" i="17" s="1"/>
  <c r="K757" i="17"/>
  <c r="R757" i="17" s="1"/>
  <c r="L757" i="17"/>
  <c r="S757" i="17" s="1"/>
  <c r="N757" i="17"/>
  <c r="O757" i="17" s="1"/>
  <c r="K758" i="17"/>
  <c r="R758" i="17" s="1"/>
  <c r="L758" i="17"/>
  <c r="S758" i="17" s="1"/>
  <c r="N758" i="17"/>
  <c r="O758" i="17" s="1"/>
  <c r="K759" i="17"/>
  <c r="R759" i="17" s="1"/>
  <c r="L759" i="17"/>
  <c r="S759" i="17" s="1"/>
  <c r="N759" i="17"/>
  <c r="O759" i="17" s="1"/>
  <c r="K760" i="17"/>
  <c r="R760" i="17" s="1"/>
  <c r="L760" i="17"/>
  <c r="S760" i="17" s="1"/>
  <c r="N760" i="17"/>
  <c r="O760" i="17" s="1"/>
  <c r="K761" i="17"/>
  <c r="R761" i="17" s="1"/>
  <c r="L761" i="17"/>
  <c r="S761" i="17" s="1"/>
  <c r="N761" i="17"/>
  <c r="O761" i="17" s="1"/>
  <c r="K762" i="17"/>
  <c r="R762" i="17" s="1"/>
  <c r="L762" i="17"/>
  <c r="S762" i="17" s="1"/>
  <c r="N762" i="17"/>
  <c r="O762" i="17" s="1"/>
  <c r="K763" i="17"/>
  <c r="R763" i="17" s="1"/>
  <c r="L763" i="17"/>
  <c r="S763" i="17" s="1"/>
  <c r="N763" i="17"/>
  <c r="O763" i="17" s="1"/>
  <c r="K764" i="17"/>
  <c r="R764" i="17" s="1"/>
  <c r="L764" i="17"/>
  <c r="S764" i="17" s="1"/>
  <c r="N764" i="17"/>
  <c r="O764" i="17" s="1"/>
  <c r="K765" i="17"/>
  <c r="R765" i="17" s="1"/>
  <c r="L765" i="17"/>
  <c r="S765" i="17" s="1"/>
  <c r="N765" i="17"/>
  <c r="O765" i="17" s="1"/>
  <c r="K766" i="17"/>
  <c r="R766" i="17" s="1"/>
  <c r="L766" i="17"/>
  <c r="S766" i="17" s="1"/>
  <c r="N766" i="17"/>
  <c r="O766" i="17" s="1"/>
  <c r="K767" i="17"/>
  <c r="R767" i="17" s="1"/>
  <c r="L767" i="17"/>
  <c r="S767" i="17" s="1"/>
  <c r="N767" i="17"/>
  <c r="O767" i="17" s="1"/>
  <c r="K768" i="17"/>
  <c r="R768" i="17" s="1"/>
  <c r="L768" i="17"/>
  <c r="S768" i="17" s="1"/>
  <c r="N768" i="17"/>
  <c r="O768" i="17" s="1"/>
  <c r="K769" i="17"/>
  <c r="R769" i="17" s="1"/>
  <c r="L769" i="17"/>
  <c r="S769" i="17" s="1"/>
  <c r="N769" i="17"/>
  <c r="O769" i="17" s="1"/>
  <c r="K770" i="17"/>
  <c r="R770" i="17" s="1"/>
  <c r="L770" i="17"/>
  <c r="S770" i="17" s="1"/>
  <c r="N770" i="17"/>
  <c r="O770" i="17" s="1"/>
  <c r="K771" i="17"/>
  <c r="R771" i="17" s="1"/>
  <c r="L771" i="17"/>
  <c r="S771" i="17" s="1"/>
  <c r="N771" i="17"/>
  <c r="O771" i="17" s="1"/>
  <c r="K772" i="17"/>
  <c r="R772" i="17" s="1"/>
  <c r="L772" i="17"/>
  <c r="S772" i="17" s="1"/>
  <c r="N772" i="17"/>
  <c r="O772" i="17" s="1"/>
  <c r="K773" i="17"/>
  <c r="R773" i="17" s="1"/>
  <c r="L773" i="17"/>
  <c r="S773" i="17" s="1"/>
  <c r="N773" i="17"/>
  <c r="O773" i="17" s="1"/>
  <c r="K774" i="17"/>
  <c r="R774" i="17" s="1"/>
  <c r="L774" i="17"/>
  <c r="S774" i="17" s="1"/>
  <c r="N774" i="17"/>
  <c r="O774" i="17" s="1"/>
  <c r="K775" i="17"/>
  <c r="R775" i="17" s="1"/>
  <c r="L775" i="17"/>
  <c r="S775" i="17" s="1"/>
  <c r="N775" i="17"/>
  <c r="O775" i="17" s="1"/>
  <c r="K776" i="17"/>
  <c r="R776" i="17" s="1"/>
  <c r="L776" i="17"/>
  <c r="S776" i="17" s="1"/>
  <c r="N776" i="17"/>
  <c r="O776" i="17" s="1"/>
  <c r="K777" i="17"/>
  <c r="R777" i="17" s="1"/>
  <c r="L777" i="17"/>
  <c r="S777" i="17" s="1"/>
  <c r="N777" i="17"/>
  <c r="O777" i="17" s="1"/>
  <c r="K778" i="17"/>
  <c r="R778" i="17" s="1"/>
  <c r="L778" i="17"/>
  <c r="S778" i="17" s="1"/>
  <c r="N778" i="17"/>
  <c r="O778" i="17" s="1"/>
  <c r="K779" i="17"/>
  <c r="R779" i="17" s="1"/>
  <c r="L779" i="17"/>
  <c r="S779" i="17" s="1"/>
  <c r="N779" i="17"/>
  <c r="O779" i="17" s="1"/>
  <c r="K780" i="17"/>
  <c r="R780" i="17" s="1"/>
  <c r="L780" i="17"/>
  <c r="S780" i="17" s="1"/>
  <c r="N780" i="17"/>
  <c r="O780" i="17" s="1"/>
  <c r="K781" i="17"/>
  <c r="R781" i="17" s="1"/>
  <c r="L781" i="17"/>
  <c r="S781" i="17" s="1"/>
  <c r="N781" i="17"/>
  <c r="O781" i="17" s="1"/>
  <c r="K782" i="17"/>
  <c r="R782" i="17" s="1"/>
  <c r="L782" i="17"/>
  <c r="S782" i="17" s="1"/>
  <c r="N782" i="17"/>
  <c r="O782" i="17" s="1"/>
  <c r="K783" i="17"/>
  <c r="R783" i="17" s="1"/>
  <c r="L783" i="17"/>
  <c r="S783" i="17" s="1"/>
  <c r="N783" i="17"/>
  <c r="O783" i="17" s="1"/>
  <c r="K784" i="17"/>
  <c r="R784" i="17" s="1"/>
  <c r="L784" i="17"/>
  <c r="S784" i="17" s="1"/>
  <c r="N784" i="17"/>
  <c r="O784" i="17" s="1"/>
  <c r="K785" i="17"/>
  <c r="R785" i="17" s="1"/>
  <c r="L785" i="17"/>
  <c r="S785" i="17" s="1"/>
  <c r="N785" i="17"/>
  <c r="O785" i="17" s="1"/>
  <c r="K786" i="17"/>
  <c r="R786" i="17" s="1"/>
  <c r="L786" i="17"/>
  <c r="S786" i="17" s="1"/>
  <c r="N786" i="17"/>
  <c r="O786" i="17" s="1"/>
  <c r="K787" i="17"/>
  <c r="R787" i="17" s="1"/>
  <c r="L787" i="17"/>
  <c r="S787" i="17" s="1"/>
  <c r="N787" i="17"/>
  <c r="O787" i="17" s="1"/>
  <c r="K788" i="17"/>
  <c r="R788" i="17" s="1"/>
  <c r="L788" i="17"/>
  <c r="S788" i="17" s="1"/>
  <c r="N788" i="17"/>
  <c r="O788" i="17" s="1"/>
  <c r="K789" i="17"/>
  <c r="R789" i="17" s="1"/>
  <c r="L789" i="17"/>
  <c r="S789" i="17" s="1"/>
  <c r="N789" i="17"/>
  <c r="O789" i="17" s="1"/>
  <c r="K790" i="17"/>
  <c r="R790" i="17" s="1"/>
  <c r="L790" i="17"/>
  <c r="S790" i="17" s="1"/>
  <c r="N790" i="17"/>
  <c r="O790" i="17" s="1"/>
  <c r="K791" i="17"/>
  <c r="R791" i="17" s="1"/>
  <c r="L791" i="17"/>
  <c r="S791" i="17" s="1"/>
  <c r="N791" i="17"/>
  <c r="O791" i="17" s="1"/>
  <c r="K792" i="17"/>
  <c r="R792" i="17" s="1"/>
  <c r="L792" i="17"/>
  <c r="S792" i="17" s="1"/>
  <c r="N792" i="17"/>
  <c r="O792" i="17" s="1"/>
  <c r="K793" i="17"/>
  <c r="R793" i="17" s="1"/>
  <c r="L793" i="17"/>
  <c r="S793" i="17" s="1"/>
  <c r="N793" i="17"/>
  <c r="O793" i="17" s="1"/>
  <c r="K794" i="17"/>
  <c r="R794" i="17" s="1"/>
  <c r="L794" i="17"/>
  <c r="S794" i="17" s="1"/>
  <c r="N794" i="17"/>
  <c r="O794" i="17" s="1"/>
  <c r="K795" i="17"/>
  <c r="R795" i="17" s="1"/>
  <c r="L795" i="17"/>
  <c r="S795" i="17" s="1"/>
  <c r="N795" i="17"/>
  <c r="O795" i="17" s="1"/>
  <c r="K796" i="17"/>
  <c r="R796" i="17" s="1"/>
  <c r="L796" i="17"/>
  <c r="S796" i="17" s="1"/>
  <c r="N796" i="17"/>
  <c r="O796" i="17" s="1"/>
  <c r="K797" i="17"/>
  <c r="R797" i="17" s="1"/>
  <c r="L797" i="17"/>
  <c r="S797" i="17" s="1"/>
  <c r="N797" i="17"/>
  <c r="O797" i="17" s="1"/>
  <c r="K798" i="17"/>
  <c r="R798" i="17" s="1"/>
  <c r="L798" i="17"/>
  <c r="S798" i="17" s="1"/>
  <c r="N798" i="17"/>
  <c r="O798" i="17" s="1"/>
  <c r="K799" i="17"/>
  <c r="R799" i="17" s="1"/>
  <c r="L799" i="17"/>
  <c r="S799" i="17" s="1"/>
  <c r="N799" i="17"/>
  <c r="O799" i="17" s="1"/>
  <c r="K800" i="17"/>
  <c r="R800" i="17" s="1"/>
  <c r="L800" i="17"/>
  <c r="S800" i="17" s="1"/>
  <c r="N800" i="17"/>
  <c r="O800" i="17" s="1"/>
  <c r="K801" i="17"/>
  <c r="R801" i="17" s="1"/>
  <c r="L801" i="17"/>
  <c r="S801" i="17" s="1"/>
  <c r="N801" i="17"/>
  <c r="O801" i="17" s="1"/>
  <c r="K802" i="17"/>
  <c r="R802" i="17" s="1"/>
  <c r="L802" i="17"/>
  <c r="S802" i="17" s="1"/>
  <c r="N802" i="17"/>
  <c r="O802" i="17" s="1"/>
  <c r="K803" i="17"/>
  <c r="R803" i="17" s="1"/>
  <c r="L803" i="17"/>
  <c r="S803" i="17" s="1"/>
  <c r="N803" i="17"/>
  <c r="O803" i="17" s="1"/>
  <c r="K804" i="17"/>
  <c r="R804" i="17" s="1"/>
  <c r="L804" i="17"/>
  <c r="S804" i="17" s="1"/>
  <c r="N804" i="17"/>
  <c r="O804" i="17" s="1"/>
  <c r="K805" i="17"/>
  <c r="R805" i="17" s="1"/>
  <c r="L805" i="17"/>
  <c r="S805" i="17" s="1"/>
  <c r="N805" i="17"/>
  <c r="O805" i="17" s="1"/>
  <c r="K806" i="17"/>
  <c r="R806" i="17" s="1"/>
  <c r="L806" i="17"/>
  <c r="S806" i="17" s="1"/>
  <c r="N806" i="17"/>
  <c r="O806" i="17" s="1"/>
  <c r="K807" i="17"/>
  <c r="R807" i="17" s="1"/>
  <c r="L807" i="17"/>
  <c r="S807" i="17" s="1"/>
  <c r="N807" i="17"/>
  <c r="O807" i="17" s="1"/>
  <c r="K808" i="17"/>
  <c r="R808" i="17" s="1"/>
  <c r="L808" i="17"/>
  <c r="S808" i="17" s="1"/>
  <c r="N808" i="17"/>
  <c r="O808" i="17" s="1"/>
  <c r="K809" i="17"/>
  <c r="R809" i="17" s="1"/>
  <c r="L809" i="17"/>
  <c r="S809" i="17" s="1"/>
  <c r="N809" i="17"/>
  <c r="O809" i="17" s="1"/>
  <c r="K810" i="17"/>
  <c r="R810" i="17" s="1"/>
  <c r="L810" i="17"/>
  <c r="S810" i="17" s="1"/>
  <c r="N810" i="17"/>
  <c r="O810" i="17" s="1"/>
  <c r="K811" i="17"/>
  <c r="R811" i="17" s="1"/>
  <c r="L811" i="17"/>
  <c r="S811" i="17" s="1"/>
  <c r="N811" i="17"/>
  <c r="O811" i="17" s="1"/>
  <c r="K812" i="17"/>
  <c r="R812" i="17" s="1"/>
  <c r="L812" i="17"/>
  <c r="S812" i="17" s="1"/>
  <c r="N812" i="17"/>
  <c r="O812" i="17" s="1"/>
  <c r="K813" i="17"/>
  <c r="R813" i="17" s="1"/>
  <c r="L813" i="17"/>
  <c r="S813" i="17" s="1"/>
  <c r="N813" i="17"/>
  <c r="O813" i="17" s="1"/>
  <c r="K814" i="17"/>
  <c r="R814" i="17" s="1"/>
  <c r="L814" i="17"/>
  <c r="S814" i="17" s="1"/>
  <c r="N814" i="17"/>
  <c r="O814" i="17" s="1"/>
  <c r="K815" i="17"/>
  <c r="R815" i="17" s="1"/>
  <c r="L815" i="17"/>
  <c r="S815" i="17" s="1"/>
  <c r="N815" i="17"/>
  <c r="O815" i="17" s="1"/>
  <c r="K816" i="17"/>
  <c r="R816" i="17" s="1"/>
  <c r="L816" i="17"/>
  <c r="S816" i="17" s="1"/>
  <c r="N816" i="17"/>
  <c r="O816" i="17" s="1"/>
  <c r="K817" i="17"/>
  <c r="R817" i="17" s="1"/>
  <c r="L817" i="17"/>
  <c r="S817" i="17" s="1"/>
  <c r="N817" i="17"/>
  <c r="O817" i="17" s="1"/>
  <c r="K818" i="17"/>
  <c r="R818" i="17" s="1"/>
  <c r="L818" i="17"/>
  <c r="S818" i="17" s="1"/>
  <c r="N818" i="17"/>
  <c r="O818" i="17" s="1"/>
  <c r="K819" i="17"/>
  <c r="R819" i="17" s="1"/>
  <c r="L819" i="17"/>
  <c r="S819" i="17" s="1"/>
  <c r="N819" i="17"/>
  <c r="O819" i="17" s="1"/>
  <c r="K820" i="17"/>
  <c r="R820" i="17" s="1"/>
  <c r="L820" i="17"/>
  <c r="S820" i="17" s="1"/>
  <c r="N820" i="17"/>
  <c r="O820" i="17" s="1"/>
  <c r="K821" i="17"/>
  <c r="R821" i="17" s="1"/>
  <c r="L821" i="17"/>
  <c r="S821" i="17" s="1"/>
  <c r="N821" i="17"/>
  <c r="O821" i="17" s="1"/>
  <c r="K822" i="17"/>
  <c r="R822" i="17" s="1"/>
  <c r="L822" i="17"/>
  <c r="S822" i="17" s="1"/>
  <c r="N822" i="17"/>
  <c r="O822" i="17" s="1"/>
  <c r="K823" i="17"/>
  <c r="R823" i="17" s="1"/>
  <c r="L823" i="17"/>
  <c r="S823" i="17" s="1"/>
  <c r="N823" i="17"/>
  <c r="O823" i="17" s="1"/>
  <c r="K824" i="17"/>
  <c r="R824" i="17" s="1"/>
  <c r="L824" i="17"/>
  <c r="S824" i="17" s="1"/>
  <c r="N824" i="17"/>
  <c r="O824" i="17" s="1"/>
  <c r="K825" i="17"/>
  <c r="R825" i="17" s="1"/>
  <c r="L825" i="17"/>
  <c r="S825" i="17" s="1"/>
  <c r="N825" i="17"/>
  <c r="O825" i="17" s="1"/>
  <c r="K826" i="17"/>
  <c r="R826" i="17" s="1"/>
  <c r="L826" i="17"/>
  <c r="S826" i="17" s="1"/>
  <c r="N826" i="17"/>
  <c r="O826" i="17" s="1"/>
  <c r="K827" i="17"/>
  <c r="R827" i="17" s="1"/>
  <c r="L827" i="17"/>
  <c r="S827" i="17" s="1"/>
  <c r="N827" i="17"/>
  <c r="O827" i="17" s="1"/>
  <c r="K828" i="17"/>
  <c r="R828" i="17" s="1"/>
  <c r="L828" i="17"/>
  <c r="S828" i="17" s="1"/>
  <c r="N828" i="17"/>
  <c r="O828" i="17" s="1"/>
  <c r="K829" i="17"/>
  <c r="R829" i="17" s="1"/>
  <c r="L829" i="17"/>
  <c r="S829" i="17" s="1"/>
  <c r="N829" i="17"/>
  <c r="O829" i="17" s="1"/>
  <c r="K830" i="17"/>
  <c r="R830" i="17" s="1"/>
  <c r="L830" i="17"/>
  <c r="S830" i="17" s="1"/>
  <c r="N830" i="17"/>
  <c r="O830" i="17" s="1"/>
  <c r="K831" i="17"/>
  <c r="R831" i="17" s="1"/>
  <c r="L831" i="17"/>
  <c r="S831" i="17" s="1"/>
  <c r="N831" i="17"/>
  <c r="O831" i="17" s="1"/>
  <c r="K832" i="17"/>
  <c r="R832" i="17" s="1"/>
  <c r="L832" i="17"/>
  <c r="S832" i="17" s="1"/>
  <c r="N832" i="17"/>
  <c r="O832" i="17" s="1"/>
  <c r="K833" i="17"/>
  <c r="R833" i="17" s="1"/>
  <c r="L833" i="17"/>
  <c r="S833" i="17" s="1"/>
  <c r="N833" i="17"/>
  <c r="O833" i="17" s="1"/>
  <c r="K834" i="17"/>
  <c r="R834" i="17" s="1"/>
  <c r="L834" i="17"/>
  <c r="S834" i="17" s="1"/>
  <c r="N834" i="17"/>
  <c r="O834" i="17" s="1"/>
  <c r="K835" i="17"/>
  <c r="R835" i="17" s="1"/>
  <c r="L835" i="17"/>
  <c r="S835" i="17" s="1"/>
  <c r="N835" i="17"/>
  <c r="O835" i="17" s="1"/>
  <c r="K836" i="17"/>
  <c r="R836" i="17" s="1"/>
  <c r="L836" i="17"/>
  <c r="S836" i="17" s="1"/>
  <c r="N836" i="17"/>
  <c r="O836" i="17" s="1"/>
  <c r="K837" i="17"/>
  <c r="R837" i="17" s="1"/>
  <c r="L837" i="17"/>
  <c r="S837" i="17" s="1"/>
  <c r="N837" i="17"/>
  <c r="O837" i="17" s="1"/>
  <c r="K838" i="17"/>
  <c r="R838" i="17" s="1"/>
  <c r="L838" i="17"/>
  <c r="S838" i="17" s="1"/>
  <c r="N838" i="17"/>
  <c r="O838" i="17" s="1"/>
  <c r="K839" i="17"/>
  <c r="R839" i="17" s="1"/>
  <c r="L839" i="17"/>
  <c r="S839" i="17" s="1"/>
  <c r="N839" i="17"/>
  <c r="O839" i="17" s="1"/>
  <c r="K840" i="17"/>
  <c r="R840" i="17" s="1"/>
  <c r="L840" i="17"/>
  <c r="S840" i="17" s="1"/>
  <c r="N840" i="17"/>
  <c r="O840" i="17" s="1"/>
  <c r="K841" i="17"/>
  <c r="R841" i="17" s="1"/>
  <c r="L841" i="17"/>
  <c r="S841" i="17" s="1"/>
  <c r="N841" i="17"/>
  <c r="O841" i="17" s="1"/>
  <c r="K842" i="17"/>
  <c r="R842" i="17" s="1"/>
  <c r="L842" i="17"/>
  <c r="S842" i="17" s="1"/>
  <c r="N842" i="17"/>
  <c r="O842" i="17" s="1"/>
  <c r="K843" i="17"/>
  <c r="R843" i="17" s="1"/>
  <c r="L843" i="17"/>
  <c r="S843" i="17" s="1"/>
  <c r="N843" i="17"/>
  <c r="O843" i="17" s="1"/>
  <c r="K844" i="17"/>
  <c r="R844" i="17" s="1"/>
  <c r="L844" i="17"/>
  <c r="S844" i="17" s="1"/>
  <c r="N844" i="17"/>
  <c r="O844" i="17" s="1"/>
  <c r="K845" i="17"/>
  <c r="R845" i="17" s="1"/>
  <c r="L845" i="17"/>
  <c r="S845" i="17" s="1"/>
  <c r="N845" i="17"/>
  <c r="O845" i="17" s="1"/>
  <c r="K846" i="17"/>
  <c r="R846" i="17" s="1"/>
  <c r="L846" i="17"/>
  <c r="S846" i="17" s="1"/>
  <c r="N846" i="17"/>
  <c r="O846" i="17" s="1"/>
  <c r="K847" i="17"/>
  <c r="R847" i="17" s="1"/>
  <c r="L847" i="17"/>
  <c r="S847" i="17" s="1"/>
  <c r="N847" i="17"/>
  <c r="O847" i="17" s="1"/>
  <c r="K848" i="17"/>
  <c r="R848" i="17" s="1"/>
  <c r="L848" i="17"/>
  <c r="S848" i="17" s="1"/>
  <c r="N848" i="17"/>
  <c r="O848" i="17" s="1"/>
  <c r="K849" i="17"/>
  <c r="R849" i="17" s="1"/>
  <c r="L849" i="17"/>
  <c r="S849" i="17" s="1"/>
  <c r="N849" i="17"/>
  <c r="O849" i="17" s="1"/>
  <c r="K850" i="17"/>
  <c r="R850" i="17" s="1"/>
  <c r="L850" i="17"/>
  <c r="S850" i="17" s="1"/>
  <c r="N850" i="17"/>
  <c r="O850" i="17" s="1"/>
  <c r="K851" i="17"/>
  <c r="R851" i="17" s="1"/>
  <c r="L851" i="17"/>
  <c r="S851" i="17" s="1"/>
  <c r="N851" i="17"/>
  <c r="O851" i="17" s="1"/>
  <c r="K852" i="17"/>
  <c r="R852" i="17" s="1"/>
  <c r="L852" i="17"/>
  <c r="S852" i="17" s="1"/>
  <c r="N852" i="17"/>
  <c r="O852" i="17" s="1"/>
  <c r="K853" i="17"/>
  <c r="R853" i="17" s="1"/>
  <c r="L853" i="17"/>
  <c r="S853" i="17" s="1"/>
  <c r="N853" i="17"/>
  <c r="O853" i="17" s="1"/>
  <c r="K854" i="17"/>
  <c r="R854" i="17" s="1"/>
  <c r="L854" i="17"/>
  <c r="S854" i="17" s="1"/>
  <c r="N854" i="17"/>
  <c r="O854" i="17" s="1"/>
  <c r="K855" i="17"/>
  <c r="R855" i="17" s="1"/>
  <c r="L855" i="17"/>
  <c r="S855" i="17" s="1"/>
  <c r="N855" i="17"/>
  <c r="O855" i="17" s="1"/>
  <c r="K856" i="17"/>
  <c r="R856" i="17" s="1"/>
  <c r="L856" i="17"/>
  <c r="S856" i="17" s="1"/>
  <c r="N856" i="17"/>
  <c r="O856" i="17" s="1"/>
  <c r="K857" i="17"/>
  <c r="R857" i="17" s="1"/>
  <c r="L857" i="17"/>
  <c r="S857" i="17" s="1"/>
  <c r="N857" i="17"/>
  <c r="O857" i="17" s="1"/>
  <c r="K858" i="17"/>
  <c r="R858" i="17" s="1"/>
  <c r="L858" i="17"/>
  <c r="S858" i="17" s="1"/>
  <c r="N858" i="17"/>
  <c r="O858" i="17" s="1"/>
  <c r="K859" i="17"/>
  <c r="R859" i="17" s="1"/>
  <c r="L859" i="17"/>
  <c r="S859" i="17" s="1"/>
  <c r="N859" i="17"/>
  <c r="O859" i="17" s="1"/>
  <c r="K860" i="17"/>
  <c r="R860" i="17" s="1"/>
  <c r="L860" i="17"/>
  <c r="S860" i="17" s="1"/>
  <c r="N860" i="17"/>
  <c r="O860" i="17" s="1"/>
  <c r="K861" i="17"/>
  <c r="R861" i="17" s="1"/>
  <c r="L861" i="17"/>
  <c r="S861" i="17" s="1"/>
  <c r="N861" i="17"/>
  <c r="O861" i="17" s="1"/>
  <c r="K862" i="17"/>
  <c r="R862" i="17" s="1"/>
  <c r="L862" i="17"/>
  <c r="S862" i="17" s="1"/>
  <c r="N862" i="17"/>
  <c r="O862" i="17" s="1"/>
  <c r="K863" i="17"/>
  <c r="R863" i="17" s="1"/>
  <c r="L863" i="17"/>
  <c r="S863" i="17" s="1"/>
  <c r="N863" i="17"/>
  <c r="O863" i="17" s="1"/>
  <c r="K864" i="17"/>
  <c r="R864" i="17" s="1"/>
  <c r="L864" i="17"/>
  <c r="S864" i="17" s="1"/>
  <c r="N864" i="17"/>
  <c r="O864" i="17" s="1"/>
  <c r="K865" i="17"/>
  <c r="R865" i="17" s="1"/>
  <c r="L865" i="17"/>
  <c r="S865" i="17" s="1"/>
  <c r="N865" i="17"/>
  <c r="O865" i="17" s="1"/>
  <c r="K866" i="17"/>
  <c r="R866" i="17" s="1"/>
  <c r="L866" i="17"/>
  <c r="S866" i="17" s="1"/>
  <c r="N866" i="17"/>
  <c r="O866" i="17" s="1"/>
  <c r="K867" i="17"/>
  <c r="R867" i="17" s="1"/>
  <c r="L867" i="17"/>
  <c r="S867" i="17" s="1"/>
  <c r="N867" i="17"/>
  <c r="O867" i="17" s="1"/>
  <c r="K868" i="17"/>
  <c r="R868" i="17" s="1"/>
  <c r="L868" i="17"/>
  <c r="S868" i="17" s="1"/>
  <c r="N868" i="17"/>
  <c r="O868" i="17" s="1"/>
  <c r="K869" i="17"/>
  <c r="R869" i="17" s="1"/>
  <c r="L869" i="17"/>
  <c r="S869" i="17" s="1"/>
  <c r="N869" i="17"/>
  <c r="O869" i="17" s="1"/>
  <c r="K870" i="17"/>
  <c r="R870" i="17" s="1"/>
  <c r="L870" i="17"/>
  <c r="S870" i="17" s="1"/>
  <c r="N870" i="17"/>
  <c r="O870" i="17" s="1"/>
  <c r="K871" i="17"/>
  <c r="R871" i="17" s="1"/>
  <c r="L871" i="17"/>
  <c r="S871" i="17" s="1"/>
  <c r="N871" i="17"/>
  <c r="O871" i="17" s="1"/>
  <c r="K872" i="17"/>
  <c r="R872" i="17" s="1"/>
  <c r="L872" i="17"/>
  <c r="S872" i="17" s="1"/>
  <c r="N872" i="17"/>
  <c r="O872" i="17" s="1"/>
  <c r="K873" i="17"/>
  <c r="R873" i="17" s="1"/>
  <c r="L873" i="17"/>
  <c r="S873" i="17" s="1"/>
  <c r="N873" i="17"/>
  <c r="O873" i="17" s="1"/>
  <c r="K874" i="17"/>
  <c r="R874" i="17" s="1"/>
  <c r="L874" i="17"/>
  <c r="S874" i="17" s="1"/>
  <c r="N874" i="17"/>
  <c r="O874" i="17" s="1"/>
  <c r="K875" i="17"/>
  <c r="R875" i="17" s="1"/>
  <c r="L875" i="17"/>
  <c r="S875" i="17" s="1"/>
  <c r="N875" i="17"/>
  <c r="O875" i="17" s="1"/>
  <c r="K876" i="17"/>
  <c r="R876" i="17" s="1"/>
  <c r="L876" i="17"/>
  <c r="S876" i="17" s="1"/>
  <c r="N876" i="17"/>
  <c r="O876" i="17" s="1"/>
  <c r="K877" i="17"/>
  <c r="R877" i="17" s="1"/>
  <c r="L877" i="17"/>
  <c r="S877" i="17" s="1"/>
  <c r="N877" i="17"/>
  <c r="O877" i="17" s="1"/>
  <c r="K878" i="17"/>
  <c r="R878" i="17" s="1"/>
  <c r="L878" i="17"/>
  <c r="S878" i="17" s="1"/>
  <c r="N878" i="17"/>
  <c r="O878" i="17" s="1"/>
  <c r="K879" i="17"/>
  <c r="R879" i="17" s="1"/>
  <c r="L879" i="17"/>
  <c r="S879" i="17" s="1"/>
  <c r="N879" i="17"/>
  <c r="O879" i="17" s="1"/>
  <c r="K880" i="17"/>
  <c r="R880" i="17" s="1"/>
  <c r="L880" i="17"/>
  <c r="S880" i="17" s="1"/>
  <c r="N880" i="17"/>
  <c r="O880" i="17" s="1"/>
  <c r="K881" i="17"/>
  <c r="R881" i="17" s="1"/>
  <c r="L881" i="17"/>
  <c r="S881" i="17" s="1"/>
  <c r="N881" i="17"/>
  <c r="O881" i="17" s="1"/>
  <c r="K882" i="17"/>
  <c r="R882" i="17" s="1"/>
  <c r="L882" i="17"/>
  <c r="S882" i="17" s="1"/>
  <c r="N882" i="17"/>
  <c r="O882" i="17" s="1"/>
  <c r="K883" i="17"/>
  <c r="R883" i="17" s="1"/>
  <c r="L883" i="17"/>
  <c r="S883" i="17" s="1"/>
  <c r="N883" i="17"/>
  <c r="O883" i="17" s="1"/>
  <c r="K884" i="17"/>
  <c r="R884" i="17" s="1"/>
  <c r="L884" i="17"/>
  <c r="S884" i="17" s="1"/>
  <c r="N884" i="17"/>
  <c r="O884" i="17" s="1"/>
  <c r="K885" i="17"/>
  <c r="R885" i="17" s="1"/>
  <c r="L885" i="17"/>
  <c r="S885" i="17" s="1"/>
  <c r="N885" i="17"/>
  <c r="O885" i="17" s="1"/>
  <c r="K886" i="17"/>
  <c r="R886" i="17" s="1"/>
  <c r="L886" i="17"/>
  <c r="S886" i="17" s="1"/>
  <c r="N886" i="17"/>
  <c r="O886" i="17" s="1"/>
  <c r="K887" i="17"/>
  <c r="R887" i="17" s="1"/>
  <c r="L887" i="17"/>
  <c r="S887" i="17" s="1"/>
  <c r="N887" i="17"/>
  <c r="O887" i="17" s="1"/>
  <c r="K888" i="17"/>
  <c r="R888" i="17" s="1"/>
  <c r="L888" i="17"/>
  <c r="S888" i="17" s="1"/>
  <c r="N888" i="17"/>
  <c r="O888" i="17" s="1"/>
  <c r="K889" i="17"/>
  <c r="R889" i="17" s="1"/>
  <c r="L889" i="17"/>
  <c r="S889" i="17" s="1"/>
  <c r="N889" i="17"/>
  <c r="O889" i="17" s="1"/>
  <c r="K890" i="17"/>
  <c r="R890" i="17" s="1"/>
  <c r="L890" i="17"/>
  <c r="S890" i="17" s="1"/>
  <c r="N890" i="17"/>
  <c r="O890" i="17" s="1"/>
  <c r="K891" i="17"/>
  <c r="R891" i="17" s="1"/>
  <c r="L891" i="17"/>
  <c r="S891" i="17" s="1"/>
  <c r="N891" i="17"/>
  <c r="O891" i="17" s="1"/>
  <c r="K892" i="17"/>
  <c r="R892" i="17" s="1"/>
  <c r="L892" i="17"/>
  <c r="S892" i="17" s="1"/>
  <c r="N892" i="17"/>
  <c r="O892" i="17" s="1"/>
  <c r="K893" i="17"/>
  <c r="R893" i="17" s="1"/>
  <c r="L893" i="17"/>
  <c r="S893" i="17" s="1"/>
  <c r="N893" i="17"/>
  <c r="O893" i="17" s="1"/>
  <c r="K894" i="17"/>
  <c r="R894" i="17" s="1"/>
  <c r="L894" i="17"/>
  <c r="S894" i="17" s="1"/>
  <c r="N894" i="17"/>
  <c r="O894" i="17" s="1"/>
  <c r="K895" i="17"/>
  <c r="R895" i="17" s="1"/>
  <c r="L895" i="17"/>
  <c r="S895" i="17" s="1"/>
  <c r="N895" i="17"/>
  <c r="O895" i="17" s="1"/>
  <c r="K896" i="17"/>
  <c r="R896" i="17" s="1"/>
  <c r="L896" i="17"/>
  <c r="S896" i="17" s="1"/>
  <c r="N896" i="17"/>
  <c r="O896" i="17" s="1"/>
  <c r="K897" i="17"/>
  <c r="R897" i="17" s="1"/>
  <c r="L897" i="17"/>
  <c r="S897" i="17" s="1"/>
  <c r="N897" i="17"/>
  <c r="O897" i="17" s="1"/>
  <c r="K898" i="17"/>
  <c r="R898" i="17" s="1"/>
  <c r="L898" i="17"/>
  <c r="S898" i="17" s="1"/>
  <c r="N898" i="17"/>
  <c r="O898" i="17" s="1"/>
  <c r="K899" i="17"/>
  <c r="R899" i="17" s="1"/>
  <c r="L899" i="17"/>
  <c r="S899" i="17" s="1"/>
  <c r="N899" i="17"/>
  <c r="O899" i="17" s="1"/>
  <c r="K900" i="17"/>
  <c r="R900" i="17" s="1"/>
  <c r="L900" i="17"/>
  <c r="S900" i="17" s="1"/>
  <c r="N900" i="17"/>
  <c r="O900" i="17" s="1"/>
  <c r="K901" i="17"/>
  <c r="R901" i="17" s="1"/>
  <c r="L901" i="17"/>
  <c r="S901" i="17" s="1"/>
  <c r="N901" i="17"/>
  <c r="O901" i="17" s="1"/>
  <c r="K902" i="17"/>
  <c r="R902" i="17" s="1"/>
  <c r="L902" i="17"/>
  <c r="S902" i="17" s="1"/>
  <c r="N902" i="17"/>
  <c r="O902" i="17" s="1"/>
  <c r="K903" i="17"/>
  <c r="R903" i="17" s="1"/>
  <c r="L903" i="17"/>
  <c r="S903" i="17" s="1"/>
  <c r="N903" i="17"/>
  <c r="O903" i="17" s="1"/>
  <c r="K904" i="17"/>
  <c r="R904" i="17" s="1"/>
  <c r="L904" i="17"/>
  <c r="S904" i="17" s="1"/>
  <c r="N904" i="17"/>
  <c r="O904" i="17" s="1"/>
  <c r="K905" i="17"/>
  <c r="R905" i="17" s="1"/>
  <c r="L905" i="17"/>
  <c r="S905" i="17" s="1"/>
  <c r="N905" i="17"/>
  <c r="O905" i="17" s="1"/>
  <c r="K906" i="17"/>
  <c r="R906" i="17" s="1"/>
  <c r="L906" i="17"/>
  <c r="S906" i="17" s="1"/>
  <c r="N906" i="17"/>
  <c r="O906" i="17" s="1"/>
  <c r="K907" i="17"/>
  <c r="R907" i="17" s="1"/>
  <c r="L907" i="17"/>
  <c r="S907" i="17" s="1"/>
  <c r="N907" i="17"/>
  <c r="O907" i="17" s="1"/>
  <c r="K908" i="17"/>
  <c r="R908" i="17" s="1"/>
  <c r="L908" i="17"/>
  <c r="S908" i="17" s="1"/>
  <c r="N908" i="17"/>
  <c r="O908" i="17" s="1"/>
  <c r="K909" i="17"/>
  <c r="R909" i="17" s="1"/>
  <c r="L909" i="17"/>
  <c r="S909" i="17" s="1"/>
  <c r="N909" i="17"/>
  <c r="O909" i="17" s="1"/>
  <c r="K910" i="17"/>
  <c r="R910" i="17" s="1"/>
  <c r="L910" i="17"/>
  <c r="S910" i="17" s="1"/>
  <c r="N910" i="17"/>
  <c r="O910" i="17" s="1"/>
  <c r="K911" i="17"/>
  <c r="R911" i="17" s="1"/>
  <c r="L911" i="17"/>
  <c r="S911" i="17" s="1"/>
  <c r="N911" i="17"/>
  <c r="O911" i="17" s="1"/>
  <c r="K912" i="17"/>
  <c r="R912" i="17" s="1"/>
  <c r="L912" i="17"/>
  <c r="S912" i="17" s="1"/>
  <c r="N912" i="17"/>
  <c r="O912" i="17" s="1"/>
  <c r="K913" i="17"/>
  <c r="R913" i="17" s="1"/>
  <c r="L913" i="17"/>
  <c r="S913" i="17" s="1"/>
  <c r="N913" i="17"/>
  <c r="O913" i="17" s="1"/>
  <c r="K914" i="17"/>
  <c r="R914" i="17" s="1"/>
  <c r="L914" i="17"/>
  <c r="S914" i="17" s="1"/>
  <c r="N914" i="17"/>
  <c r="O914" i="17" s="1"/>
  <c r="K915" i="17"/>
  <c r="R915" i="17" s="1"/>
  <c r="L915" i="17"/>
  <c r="S915" i="17" s="1"/>
  <c r="N915" i="17"/>
  <c r="O915" i="17" s="1"/>
  <c r="K916" i="17"/>
  <c r="R916" i="17" s="1"/>
  <c r="L916" i="17"/>
  <c r="S916" i="17" s="1"/>
  <c r="N916" i="17"/>
  <c r="O916" i="17" s="1"/>
  <c r="K917" i="17"/>
  <c r="R917" i="17" s="1"/>
  <c r="L917" i="17"/>
  <c r="S917" i="17" s="1"/>
  <c r="N917" i="17"/>
  <c r="O917" i="17" s="1"/>
  <c r="K918" i="17"/>
  <c r="R918" i="17" s="1"/>
  <c r="L918" i="17"/>
  <c r="S918" i="17" s="1"/>
  <c r="N918" i="17"/>
  <c r="O918" i="17" s="1"/>
  <c r="K919" i="17"/>
  <c r="R919" i="17" s="1"/>
  <c r="L919" i="17"/>
  <c r="S919" i="17" s="1"/>
  <c r="N919" i="17"/>
  <c r="O919" i="17" s="1"/>
  <c r="K920" i="17"/>
  <c r="R920" i="17" s="1"/>
  <c r="L920" i="17"/>
  <c r="S920" i="17" s="1"/>
  <c r="N920" i="17"/>
  <c r="O920" i="17" s="1"/>
  <c r="K921" i="17"/>
  <c r="R921" i="17" s="1"/>
  <c r="L921" i="17"/>
  <c r="S921" i="17" s="1"/>
  <c r="N921" i="17"/>
  <c r="O921" i="17" s="1"/>
  <c r="K922" i="17"/>
  <c r="R922" i="17" s="1"/>
  <c r="L922" i="17"/>
  <c r="S922" i="17" s="1"/>
  <c r="N922" i="17"/>
  <c r="O922" i="17" s="1"/>
  <c r="K923" i="17"/>
  <c r="R923" i="17" s="1"/>
  <c r="L923" i="17"/>
  <c r="S923" i="17" s="1"/>
  <c r="N923" i="17"/>
  <c r="O923" i="17" s="1"/>
  <c r="K924" i="17"/>
  <c r="R924" i="17" s="1"/>
  <c r="L924" i="17"/>
  <c r="S924" i="17" s="1"/>
  <c r="N924" i="17"/>
  <c r="O924" i="17" s="1"/>
  <c r="K925" i="17"/>
  <c r="R925" i="17" s="1"/>
  <c r="L925" i="17"/>
  <c r="S925" i="17" s="1"/>
  <c r="N925" i="17"/>
  <c r="O925" i="17" s="1"/>
  <c r="K926" i="17"/>
  <c r="R926" i="17" s="1"/>
  <c r="L926" i="17"/>
  <c r="S926" i="17" s="1"/>
  <c r="N926" i="17"/>
  <c r="O926" i="17" s="1"/>
  <c r="K927" i="17"/>
  <c r="R927" i="17" s="1"/>
  <c r="L927" i="17"/>
  <c r="S927" i="17" s="1"/>
  <c r="N927" i="17"/>
  <c r="O927" i="17" s="1"/>
  <c r="K928" i="17"/>
  <c r="R928" i="17" s="1"/>
  <c r="L928" i="17"/>
  <c r="S928" i="17" s="1"/>
  <c r="N928" i="17"/>
  <c r="O928" i="17" s="1"/>
  <c r="K929" i="17"/>
  <c r="R929" i="17" s="1"/>
  <c r="L929" i="17"/>
  <c r="S929" i="17" s="1"/>
  <c r="N929" i="17"/>
  <c r="O929" i="17" s="1"/>
  <c r="K930" i="17"/>
  <c r="R930" i="17" s="1"/>
  <c r="L930" i="17"/>
  <c r="S930" i="17" s="1"/>
  <c r="N930" i="17"/>
  <c r="O930" i="17" s="1"/>
  <c r="K931" i="17"/>
  <c r="R931" i="17" s="1"/>
  <c r="L931" i="17"/>
  <c r="S931" i="17" s="1"/>
  <c r="N931" i="17"/>
  <c r="O931" i="17" s="1"/>
  <c r="K932" i="17"/>
  <c r="R932" i="17" s="1"/>
  <c r="L932" i="17"/>
  <c r="S932" i="17" s="1"/>
  <c r="N932" i="17"/>
  <c r="O932" i="17" s="1"/>
  <c r="K933" i="17"/>
  <c r="R933" i="17" s="1"/>
  <c r="L933" i="17"/>
  <c r="S933" i="17" s="1"/>
  <c r="N933" i="17"/>
  <c r="O933" i="17" s="1"/>
  <c r="K934" i="17"/>
  <c r="R934" i="17" s="1"/>
  <c r="L934" i="17"/>
  <c r="S934" i="17" s="1"/>
  <c r="N934" i="17"/>
  <c r="O934" i="17" s="1"/>
  <c r="K935" i="17"/>
  <c r="R935" i="17" s="1"/>
  <c r="L935" i="17"/>
  <c r="S935" i="17" s="1"/>
  <c r="N935" i="17"/>
  <c r="O935" i="17" s="1"/>
  <c r="K936" i="17"/>
  <c r="R936" i="17" s="1"/>
  <c r="L936" i="17"/>
  <c r="S936" i="17" s="1"/>
  <c r="N936" i="17"/>
  <c r="O936" i="17" s="1"/>
  <c r="K937" i="17"/>
  <c r="R937" i="17" s="1"/>
  <c r="L937" i="17"/>
  <c r="S937" i="17" s="1"/>
  <c r="N937" i="17"/>
  <c r="O937" i="17" s="1"/>
  <c r="K938" i="17"/>
  <c r="R938" i="17" s="1"/>
  <c r="L938" i="17"/>
  <c r="S938" i="17" s="1"/>
  <c r="N938" i="17"/>
  <c r="O938" i="17" s="1"/>
  <c r="K939" i="17"/>
  <c r="R939" i="17" s="1"/>
  <c r="L939" i="17"/>
  <c r="S939" i="17" s="1"/>
  <c r="N939" i="17"/>
  <c r="O939" i="17" s="1"/>
  <c r="K940" i="17"/>
  <c r="R940" i="17" s="1"/>
  <c r="L940" i="17"/>
  <c r="S940" i="17" s="1"/>
  <c r="N940" i="17"/>
  <c r="O940" i="17" s="1"/>
  <c r="K941" i="17"/>
  <c r="R941" i="17" s="1"/>
  <c r="L941" i="17"/>
  <c r="S941" i="17" s="1"/>
  <c r="N941" i="17"/>
  <c r="O941" i="17" s="1"/>
  <c r="K942" i="17"/>
  <c r="R942" i="17" s="1"/>
  <c r="L942" i="17"/>
  <c r="S942" i="17" s="1"/>
  <c r="N942" i="17"/>
  <c r="O942" i="17" s="1"/>
  <c r="K943" i="17"/>
  <c r="R943" i="17" s="1"/>
  <c r="L943" i="17"/>
  <c r="S943" i="17" s="1"/>
  <c r="N943" i="17"/>
  <c r="O943" i="17" s="1"/>
  <c r="K944" i="17"/>
  <c r="R944" i="17" s="1"/>
  <c r="L944" i="17"/>
  <c r="S944" i="17" s="1"/>
  <c r="N944" i="17"/>
  <c r="O944" i="17" s="1"/>
  <c r="K945" i="17"/>
  <c r="R945" i="17" s="1"/>
  <c r="L945" i="17"/>
  <c r="S945" i="17" s="1"/>
  <c r="N945" i="17"/>
  <c r="O945" i="17" s="1"/>
  <c r="K946" i="17"/>
  <c r="R946" i="17" s="1"/>
  <c r="L946" i="17"/>
  <c r="S946" i="17" s="1"/>
  <c r="N946" i="17"/>
  <c r="O946" i="17" s="1"/>
  <c r="K947" i="17"/>
  <c r="R947" i="17" s="1"/>
  <c r="L947" i="17"/>
  <c r="S947" i="17" s="1"/>
  <c r="N947" i="17"/>
  <c r="O947" i="17" s="1"/>
  <c r="K948" i="17"/>
  <c r="R948" i="17" s="1"/>
  <c r="L948" i="17"/>
  <c r="S948" i="17" s="1"/>
  <c r="N948" i="17"/>
  <c r="O948" i="17" s="1"/>
  <c r="K949" i="17"/>
  <c r="R949" i="17" s="1"/>
  <c r="L949" i="17"/>
  <c r="S949" i="17" s="1"/>
  <c r="N949" i="17"/>
  <c r="O949" i="17" s="1"/>
  <c r="K950" i="17"/>
  <c r="R950" i="17" s="1"/>
  <c r="L950" i="17"/>
  <c r="S950" i="17" s="1"/>
  <c r="N950" i="17"/>
  <c r="O950" i="17" s="1"/>
  <c r="K951" i="17"/>
  <c r="R951" i="17" s="1"/>
  <c r="L951" i="17"/>
  <c r="S951" i="17" s="1"/>
  <c r="N951" i="17"/>
  <c r="O951" i="17" s="1"/>
  <c r="K952" i="17"/>
  <c r="R952" i="17" s="1"/>
  <c r="L952" i="17"/>
  <c r="S952" i="17" s="1"/>
  <c r="N952" i="17"/>
  <c r="O952" i="17" s="1"/>
  <c r="K953" i="17"/>
  <c r="R953" i="17" s="1"/>
  <c r="L953" i="17"/>
  <c r="S953" i="17" s="1"/>
  <c r="N953" i="17"/>
  <c r="O953" i="17" s="1"/>
  <c r="K954" i="17"/>
  <c r="R954" i="17" s="1"/>
  <c r="L954" i="17"/>
  <c r="S954" i="17" s="1"/>
  <c r="N954" i="17"/>
  <c r="O954" i="17" s="1"/>
  <c r="K955" i="17"/>
  <c r="R955" i="17" s="1"/>
  <c r="L955" i="17"/>
  <c r="S955" i="17" s="1"/>
  <c r="N955" i="17"/>
  <c r="O955" i="17" s="1"/>
  <c r="K956" i="17"/>
  <c r="R956" i="17" s="1"/>
  <c r="L956" i="17"/>
  <c r="S956" i="17" s="1"/>
  <c r="N956" i="17"/>
  <c r="O956" i="17" s="1"/>
  <c r="K957" i="17"/>
  <c r="R957" i="17" s="1"/>
  <c r="L957" i="17"/>
  <c r="S957" i="17" s="1"/>
  <c r="N957" i="17"/>
  <c r="O957" i="17" s="1"/>
  <c r="K958" i="17"/>
  <c r="R958" i="17" s="1"/>
  <c r="L958" i="17"/>
  <c r="S958" i="17" s="1"/>
  <c r="N958" i="17"/>
  <c r="O958" i="17" s="1"/>
  <c r="K959" i="17"/>
  <c r="R959" i="17" s="1"/>
  <c r="L959" i="17"/>
  <c r="S959" i="17" s="1"/>
  <c r="N959" i="17"/>
  <c r="O959" i="17" s="1"/>
  <c r="K960" i="17"/>
  <c r="R960" i="17" s="1"/>
  <c r="L960" i="17"/>
  <c r="S960" i="17" s="1"/>
  <c r="N960" i="17"/>
  <c r="O960" i="17" s="1"/>
  <c r="K961" i="17"/>
  <c r="R961" i="17" s="1"/>
  <c r="L961" i="17"/>
  <c r="S961" i="17" s="1"/>
  <c r="N961" i="17"/>
  <c r="O961" i="17" s="1"/>
  <c r="K962" i="17"/>
  <c r="R962" i="17" s="1"/>
  <c r="L962" i="17"/>
  <c r="S962" i="17" s="1"/>
  <c r="N962" i="17"/>
  <c r="O962" i="17" s="1"/>
  <c r="K963" i="17"/>
  <c r="R963" i="17" s="1"/>
  <c r="L963" i="17"/>
  <c r="S963" i="17" s="1"/>
  <c r="N963" i="17"/>
  <c r="O963" i="17" s="1"/>
  <c r="K964" i="17"/>
  <c r="R964" i="17" s="1"/>
  <c r="L964" i="17"/>
  <c r="S964" i="17" s="1"/>
  <c r="N964" i="17"/>
  <c r="O964" i="17" s="1"/>
  <c r="K965" i="17"/>
  <c r="R965" i="17" s="1"/>
  <c r="L965" i="17"/>
  <c r="S965" i="17" s="1"/>
  <c r="N965" i="17"/>
  <c r="O965" i="17" s="1"/>
  <c r="K966" i="17"/>
  <c r="R966" i="17" s="1"/>
  <c r="L966" i="17"/>
  <c r="S966" i="17" s="1"/>
  <c r="N966" i="17"/>
  <c r="O966" i="17" s="1"/>
  <c r="K967" i="17"/>
  <c r="R967" i="17" s="1"/>
  <c r="L967" i="17"/>
  <c r="S967" i="17" s="1"/>
  <c r="N967" i="17"/>
  <c r="O967" i="17" s="1"/>
  <c r="K968" i="17"/>
  <c r="R968" i="17" s="1"/>
  <c r="L968" i="17"/>
  <c r="S968" i="17" s="1"/>
  <c r="N968" i="17"/>
  <c r="O968" i="17" s="1"/>
  <c r="K969" i="17"/>
  <c r="R969" i="17" s="1"/>
  <c r="L969" i="17"/>
  <c r="S969" i="17" s="1"/>
  <c r="N969" i="17"/>
  <c r="O969" i="17" s="1"/>
  <c r="K970" i="17"/>
  <c r="R970" i="17" s="1"/>
  <c r="L970" i="17"/>
  <c r="S970" i="17" s="1"/>
  <c r="N970" i="17"/>
  <c r="O970" i="17" s="1"/>
  <c r="K971" i="17"/>
  <c r="R971" i="17" s="1"/>
  <c r="L971" i="17"/>
  <c r="S971" i="17" s="1"/>
  <c r="N971" i="17"/>
  <c r="O971" i="17" s="1"/>
  <c r="K972" i="17"/>
  <c r="R972" i="17" s="1"/>
  <c r="L972" i="17"/>
  <c r="S972" i="17" s="1"/>
  <c r="N972" i="17"/>
  <c r="O972" i="17" s="1"/>
  <c r="K973" i="17"/>
  <c r="R973" i="17" s="1"/>
  <c r="L973" i="17"/>
  <c r="S973" i="17" s="1"/>
  <c r="N973" i="17"/>
  <c r="O973" i="17" s="1"/>
  <c r="K974" i="17"/>
  <c r="R974" i="17" s="1"/>
  <c r="L974" i="17"/>
  <c r="S974" i="17" s="1"/>
  <c r="N974" i="17"/>
  <c r="O974" i="17" s="1"/>
  <c r="K975" i="17"/>
  <c r="R975" i="17" s="1"/>
  <c r="L975" i="17"/>
  <c r="S975" i="17" s="1"/>
  <c r="N975" i="17"/>
  <c r="O975" i="17" s="1"/>
  <c r="K976" i="17"/>
  <c r="R976" i="17" s="1"/>
  <c r="L976" i="17"/>
  <c r="S976" i="17" s="1"/>
  <c r="N976" i="17"/>
  <c r="O976" i="17" s="1"/>
  <c r="K977" i="17"/>
  <c r="R977" i="17" s="1"/>
  <c r="L977" i="17"/>
  <c r="S977" i="17" s="1"/>
  <c r="N977" i="17"/>
  <c r="O977" i="17" s="1"/>
  <c r="K978" i="17"/>
  <c r="R978" i="17" s="1"/>
  <c r="L978" i="17"/>
  <c r="S978" i="17" s="1"/>
  <c r="N978" i="17"/>
  <c r="O978" i="17" s="1"/>
  <c r="K979" i="17"/>
  <c r="R979" i="17" s="1"/>
  <c r="L979" i="17"/>
  <c r="S979" i="17" s="1"/>
  <c r="N979" i="17"/>
  <c r="O979" i="17" s="1"/>
  <c r="K980" i="17"/>
  <c r="R980" i="17" s="1"/>
  <c r="L980" i="17"/>
  <c r="S980" i="17" s="1"/>
  <c r="N980" i="17"/>
  <c r="O980" i="17" s="1"/>
  <c r="K981" i="17"/>
  <c r="R981" i="17" s="1"/>
  <c r="L981" i="17"/>
  <c r="S981" i="17" s="1"/>
  <c r="N981" i="17"/>
  <c r="O981" i="17" s="1"/>
  <c r="K982" i="17"/>
  <c r="R982" i="17" s="1"/>
  <c r="L982" i="17"/>
  <c r="S982" i="17" s="1"/>
  <c r="N982" i="17"/>
  <c r="O982" i="17" s="1"/>
  <c r="K983" i="17"/>
  <c r="R983" i="17" s="1"/>
  <c r="L983" i="17"/>
  <c r="S983" i="17" s="1"/>
  <c r="N983" i="17"/>
  <c r="O983" i="17" s="1"/>
  <c r="K984" i="17"/>
  <c r="R984" i="17" s="1"/>
  <c r="L984" i="17"/>
  <c r="S984" i="17" s="1"/>
  <c r="N984" i="17"/>
  <c r="O984" i="17" s="1"/>
  <c r="K985" i="17"/>
  <c r="R985" i="17" s="1"/>
  <c r="L985" i="17"/>
  <c r="S985" i="17" s="1"/>
  <c r="N985" i="17"/>
  <c r="O985" i="17" s="1"/>
  <c r="K986" i="17"/>
  <c r="R986" i="17" s="1"/>
  <c r="L986" i="17"/>
  <c r="S986" i="17" s="1"/>
  <c r="N986" i="17"/>
  <c r="O986" i="17" s="1"/>
  <c r="K987" i="17"/>
  <c r="R987" i="17" s="1"/>
  <c r="L987" i="17"/>
  <c r="S987" i="17" s="1"/>
  <c r="N987" i="17"/>
  <c r="O987" i="17" s="1"/>
  <c r="K988" i="17"/>
  <c r="R988" i="17" s="1"/>
  <c r="L988" i="17"/>
  <c r="S988" i="17" s="1"/>
  <c r="N988" i="17"/>
  <c r="O988" i="17" s="1"/>
  <c r="K989" i="17"/>
  <c r="R989" i="17" s="1"/>
  <c r="L989" i="17"/>
  <c r="S989" i="17" s="1"/>
  <c r="N989" i="17"/>
  <c r="O989" i="17" s="1"/>
  <c r="K990" i="17"/>
  <c r="R990" i="17" s="1"/>
  <c r="L990" i="17"/>
  <c r="S990" i="17" s="1"/>
  <c r="N990" i="17"/>
  <c r="O990" i="17" s="1"/>
  <c r="K991" i="17"/>
  <c r="R991" i="17" s="1"/>
  <c r="L991" i="17"/>
  <c r="S991" i="17" s="1"/>
  <c r="N991" i="17"/>
  <c r="O991" i="17" s="1"/>
  <c r="K992" i="17"/>
  <c r="R992" i="17" s="1"/>
  <c r="L992" i="17"/>
  <c r="S992" i="17" s="1"/>
  <c r="N992" i="17"/>
  <c r="O992" i="17" s="1"/>
  <c r="K993" i="17"/>
  <c r="R993" i="17" s="1"/>
  <c r="L993" i="17"/>
  <c r="S993" i="17" s="1"/>
  <c r="N993" i="17"/>
  <c r="O993" i="17" s="1"/>
  <c r="K994" i="17"/>
  <c r="R994" i="17" s="1"/>
  <c r="L994" i="17"/>
  <c r="S994" i="17" s="1"/>
  <c r="N994" i="17"/>
  <c r="O994" i="17" s="1"/>
  <c r="K995" i="17"/>
  <c r="R995" i="17" s="1"/>
  <c r="L995" i="17"/>
  <c r="S995" i="17" s="1"/>
  <c r="N995" i="17"/>
  <c r="O995" i="17" s="1"/>
  <c r="K996" i="17"/>
  <c r="R996" i="17" s="1"/>
  <c r="L996" i="17"/>
  <c r="S996" i="17" s="1"/>
  <c r="N996" i="17"/>
  <c r="O996" i="17" s="1"/>
  <c r="K997" i="17"/>
  <c r="R997" i="17" s="1"/>
  <c r="L997" i="17"/>
  <c r="S997" i="17" s="1"/>
  <c r="N997" i="17"/>
  <c r="O997" i="17" s="1"/>
  <c r="K998" i="17"/>
  <c r="R998" i="17" s="1"/>
  <c r="L998" i="17"/>
  <c r="S998" i="17" s="1"/>
  <c r="N998" i="17"/>
  <c r="O998" i="17" s="1"/>
  <c r="K999" i="17"/>
  <c r="R999" i="17" s="1"/>
  <c r="L999" i="17"/>
  <c r="S999" i="17" s="1"/>
  <c r="N999" i="17"/>
  <c r="O999" i="17" s="1"/>
  <c r="K1000" i="17"/>
  <c r="R1000" i="17" s="1"/>
  <c r="L1000" i="17"/>
  <c r="S1000" i="17" s="1"/>
  <c r="N1000" i="17"/>
  <c r="O1000" i="17" s="1"/>
  <c r="K1001" i="17"/>
  <c r="R1001" i="17" s="1"/>
  <c r="L1001" i="17"/>
  <c r="S1001" i="17" s="1"/>
  <c r="N1001" i="17"/>
  <c r="O1001" i="17" s="1"/>
  <c r="M2" i="17"/>
  <c r="K2" i="17"/>
  <c r="R2" i="17" s="1"/>
  <c r="N2" i="17"/>
  <c r="O2" i="17" s="1"/>
  <c r="H3" i="17" a="1"/>
  <c r="H3" i="17" s="1"/>
  <c r="H4" i="17" a="1"/>
  <c r="H4" i="17" s="1"/>
  <c r="H5" i="17" a="1"/>
  <c r="H5" i="17" s="1"/>
  <c r="H6" i="17" a="1"/>
  <c r="H6" i="17" s="1"/>
  <c r="H7" i="17" a="1"/>
  <c r="H7" i="17" s="1"/>
  <c r="H8" i="17" a="1"/>
  <c r="H8" i="17" s="1"/>
  <c r="H9" i="17" a="1"/>
  <c r="H9" i="17" s="1"/>
  <c r="H10" i="17" a="1"/>
  <c r="H10" i="17" s="1"/>
  <c r="H11" i="17" a="1"/>
  <c r="H11" i="17" s="1"/>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s="1"/>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s="1"/>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s="1"/>
  <c r="H67" i="17" a="1"/>
  <c r="H67" i="17" s="1"/>
  <c r="H68" i="17" a="1"/>
  <c r="H68" i="17" s="1"/>
  <c r="H69" i="17" a="1"/>
  <c r="H69" i="17" s="1"/>
  <c r="H70" i="17" a="1"/>
  <c r="H70" i="17" s="1"/>
  <c r="H71" i="17" a="1"/>
  <c r="H71" i="17" s="1"/>
  <c r="H72" i="17" a="1"/>
  <c r="H72" i="17" s="1"/>
  <c r="H73" i="17" a="1"/>
  <c r="H73" i="17" s="1"/>
  <c r="H74" i="17" a="1"/>
  <c r="H74" i="17" s="1"/>
  <c r="H75" i="17" a="1"/>
  <c r="H75" i="17" s="1"/>
  <c r="H76" i="17" a="1"/>
  <c r="H76" i="17" s="1"/>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s="1"/>
  <c r="H97" i="17" a="1"/>
  <c r="H97" i="17" s="1"/>
  <c r="H98" i="17" a="1"/>
  <c r="H98" i="17" s="1"/>
  <c r="H99" i="17" a="1"/>
  <c r="H99" i="17" s="1"/>
  <c r="H100" i="17" a="1"/>
  <c r="H100" i="17" s="1"/>
  <c r="H101" i="17" a="1"/>
  <c r="H101" i="17" s="1"/>
  <c r="H102" i="17" a="1"/>
  <c r="H102" i="17" s="1"/>
  <c r="H103" i="17" a="1"/>
  <c r="H103" i="17" s="1"/>
  <c r="H104" i="17" a="1"/>
  <c r="H104" i="17" s="1"/>
  <c r="H105" i="17" a="1"/>
  <c r="H105" i="17" s="1"/>
  <c r="H106" i="17" a="1"/>
  <c r="H106" i="17" s="1"/>
  <c r="H107" i="17" a="1"/>
  <c r="H107" i="17" s="1"/>
  <c r="H108" i="17" a="1"/>
  <c r="H108" i="17" s="1"/>
  <c r="H109" i="17" a="1"/>
  <c r="H109" i="17" s="1"/>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s="1"/>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s="1"/>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s="1"/>
  <c r="H173" i="17" a="1"/>
  <c r="H173" i="17" s="1"/>
  <c r="H174" i="17" a="1"/>
  <c r="H174" i="17" s="1"/>
  <c r="H175" i="17" a="1"/>
  <c r="H175" i="17" s="1"/>
  <c r="H176" i="17" a="1"/>
  <c r="H176" i="17" s="1"/>
  <c r="H177" i="17" a="1"/>
  <c r="H177" i="17" s="1"/>
  <c r="H178" i="17" a="1"/>
  <c r="H178" i="17" s="1"/>
  <c r="H179" i="17" a="1"/>
  <c r="H179" i="17" s="1"/>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s="1"/>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s="1"/>
  <c r="H223" i="17" a="1"/>
  <c r="H223" i="17" s="1"/>
  <c r="H224" i="17" a="1"/>
  <c r="H224" i="17" s="1"/>
  <c r="H225" i="17" a="1"/>
  <c r="H225" i="17" s="1"/>
  <c r="H226" i="17" a="1"/>
  <c r="H226" i="17" s="1"/>
  <c r="H227" i="17" a="1"/>
  <c r="H227" i="17" s="1"/>
  <c r="H228" i="17" a="1"/>
  <c r="H228" i="17" s="1"/>
  <c r="H229" i="17" a="1"/>
  <c r="H229" i="17" s="1"/>
  <c r="H230" i="17" a="1"/>
  <c r="H230" i="17" s="1"/>
  <c r="H231" i="17" a="1"/>
  <c r="H231" i="17" s="1"/>
  <c r="H232" i="17" a="1"/>
  <c r="H232" i="17" s="1"/>
  <c r="H233" i="17" a="1"/>
  <c r="H233" i="17" s="1"/>
  <c r="H234" i="17" a="1"/>
  <c r="H234" i="17" s="1"/>
  <c r="H235" i="17" a="1"/>
  <c r="H235" i="17" s="1"/>
  <c r="H236" i="17" a="1"/>
  <c r="H236" i="17" s="1"/>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s="1"/>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s="1"/>
  <c r="H293" i="17" a="1"/>
  <c r="H293" i="17" s="1"/>
  <c r="H294" i="17" a="1"/>
  <c r="H294" i="17" s="1"/>
  <c r="H295" i="17" a="1"/>
  <c r="H295" i="17" s="1"/>
  <c r="H296" i="17" a="1"/>
  <c r="H296" i="17" s="1"/>
  <c r="H297" i="17" a="1"/>
  <c r="H297" i="17" s="1"/>
  <c r="H298" i="17" a="1"/>
  <c r="H298" i="17" s="1"/>
  <c r="H299" i="17" a="1"/>
  <c r="H299" i="17" s="1"/>
  <c r="H300" i="17" a="1"/>
  <c r="H300" i="17" s="1"/>
  <c r="H301" i="17" a="1"/>
  <c r="H301" i="17" s="1"/>
  <c r="H302" i="17" a="1"/>
  <c r="H302" i="17" s="1"/>
  <c r="H303" i="17" a="1"/>
  <c r="H303" i="17" s="1"/>
  <c r="H304" i="17" a="1"/>
  <c r="H304" i="17" s="1"/>
  <c r="H305" i="17" a="1"/>
  <c r="H305" i="17" s="1"/>
  <c r="H306" i="17" a="1"/>
  <c r="H306" i="17" s="1"/>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s="1"/>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s="1"/>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s="1"/>
  <c r="H433" i="17" a="1"/>
  <c r="H433" i="17" s="1"/>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s="1"/>
  <c r="H455" i="17" a="1"/>
  <c r="H455" i="17" s="1"/>
  <c r="H456" i="17" a="1"/>
  <c r="H456" i="17" s="1"/>
  <c r="H457" i="17" a="1"/>
  <c r="H457" i="17" s="1"/>
  <c r="H458" i="17" a="1"/>
  <c r="H458" i="17" s="1"/>
  <c r="H459" i="17" a="1"/>
  <c r="H459" i="17" s="1"/>
  <c r="H460" i="17" a="1"/>
  <c r="H460" i="17" s="1"/>
  <c r="H461" i="17" a="1"/>
  <c r="H461" i="17" s="1"/>
  <c r="H462" i="17" a="1"/>
  <c r="H462" i="17" s="1"/>
  <c r="H463" i="17" a="1"/>
  <c r="H463" i="17" s="1"/>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s="1"/>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s="1"/>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s="1"/>
  <c r="H565" i="17" a="1"/>
  <c r="H565" i="17" s="1"/>
  <c r="H566" i="17" a="1"/>
  <c r="H566" i="17" s="1"/>
  <c r="H567" i="17" a="1"/>
  <c r="H567" i="17" s="1"/>
  <c r="H568" i="17" a="1"/>
  <c r="H568" i="17" s="1"/>
  <c r="H569" i="17" a="1"/>
  <c r="H569" i="17" s="1"/>
  <c r="H570" i="17" a="1"/>
  <c r="H570" i="17" s="1"/>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s="1"/>
  <c r="H582" i="17" a="1"/>
  <c r="H582" i="17" s="1"/>
  <c r="H583" i="17" a="1"/>
  <c r="H583" i="17" s="1"/>
  <c r="H584" i="17" a="1"/>
  <c r="H584" i="17" s="1"/>
  <c r="H585" i="17" a="1"/>
  <c r="H585" i="17" s="1"/>
  <c r="H586" i="17" a="1"/>
  <c r="H586" i="17" s="1"/>
  <c r="H587" i="17" a="1"/>
  <c r="H587" i="17" s="1"/>
  <c r="H588" i="17" a="1"/>
  <c r="H588" i="17" s="1"/>
  <c r="H589" i="17" a="1"/>
  <c r="H589" i="17" s="1"/>
  <c r="H590" i="17" a="1"/>
  <c r="H590" i="17" s="1"/>
  <c r="H591" i="17" a="1"/>
  <c r="H591" i="17" s="1"/>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s="1"/>
  <c r="H602" i="17" a="1"/>
  <c r="H602" i="17" s="1"/>
  <c r="H603" i="17" a="1"/>
  <c r="H603" i="17" s="1"/>
  <c r="H604" i="17" a="1"/>
  <c r="H604" i="17" s="1"/>
  <c r="H605" i="17" a="1"/>
  <c r="H605" i="17" s="1"/>
  <c r="H606" i="17" a="1"/>
  <c r="H606" i="17" s="1"/>
  <c r="H607" i="17" a="1"/>
  <c r="H607" i="17" s="1"/>
  <c r="H608" i="17" a="1"/>
  <c r="H608" i="17" s="1"/>
  <c r="H609" i="17" a="1"/>
  <c r="H609" i="17" s="1"/>
  <c r="H610" i="17" a="1"/>
  <c r="H610" i="17" s="1"/>
  <c r="H611" i="17" a="1"/>
  <c r="H611" i="17" s="1"/>
  <c r="H612" i="17" a="1"/>
  <c r="H612" i="17" s="1"/>
  <c r="H613" i="17" a="1"/>
  <c r="H613" i="17" s="1"/>
  <c r="H614" i="17" a="1"/>
  <c r="H614" i="17" s="1"/>
  <c r="H615" i="17" a="1"/>
  <c r="H615" i="17" s="1"/>
  <c r="H616" i="17" a="1"/>
  <c r="H616" i="17" s="1"/>
  <c r="H617" i="17" a="1"/>
  <c r="H617" i="17" s="1"/>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s="1"/>
  <c r="H630" i="17" a="1"/>
  <c r="H630" i="17" s="1"/>
  <c r="H631" i="17" a="1"/>
  <c r="H631" i="17" s="1"/>
  <c r="H632" i="17" a="1"/>
  <c r="H632" i="17" s="1"/>
  <c r="H633" i="17" a="1"/>
  <c r="H633" i="17" s="1"/>
  <c r="H634" i="17" a="1"/>
  <c r="H634" i="17" s="1"/>
  <c r="H635" i="17" a="1"/>
  <c r="H635" i="17" s="1"/>
  <c r="H636" i="17" a="1"/>
  <c r="H636" i="17" s="1"/>
  <c r="H637" i="17" a="1"/>
  <c r="H637" i="17" s="1"/>
  <c r="H638" i="17" a="1"/>
  <c r="H638" i="17" s="1"/>
  <c r="H639" i="17" a="1"/>
  <c r="H639" i="17" s="1"/>
  <c r="H640" i="17" a="1"/>
  <c r="H640" i="17" s="1"/>
  <c r="H641" i="17" a="1"/>
  <c r="H641" i="17" s="1"/>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s="1"/>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s="1"/>
  <c r="H674" i="17" a="1"/>
  <c r="H674" i="17" s="1"/>
  <c r="H675" i="17" a="1"/>
  <c r="H675" i="17" s="1"/>
  <c r="H676" i="17" a="1"/>
  <c r="H676" i="17" s="1"/>
  <c r="H677" i="17" a="1"/>
  <c r="H677" i="17" s="1"/>
  <c r="H678" i="17" a="1"/>
  <c r="H678" i="17" s="1"/>
  <c r="H679" i="17" a="1"/>
  <c r="H679" i="17" s="1"/>
  <c r="H680" i="17" a="1"/>
  <c r="H680" i="17" s="1"/>
  <c r="H681" i="17" a="1"/>
  <c r="H681" i="17" s="1"/>
  <c r="H682" i="17" a="1"/>
  <c r="H682" i="17" s="1"/>
  <c r="H683" i="17" a="1"/>
  <c r="H683" i="17" s="1"/>
  <c r="H684" i="17" a="1"/>
  <c r="H684" i="17" s="1"/>
  <c r="H685" i="17" a="1"/>
  <c r="H685" i="17" s="1"/>
  <c r="H686" i="17" a="1"/>
  <c r="H686" i="17" s="1"/>
  <c r="H687" i="17" a="1"/>
  <c r="H687" i="17" s="1"/>
  <c r="H688" i="17" a="1"/>
  <c r="H688" i="17" s="1"/>
  <c r="H689" i="17" a="1"/>
  <c r="H689" i="17" s="1"/>
  <c r="H690" i="17" a="1"/>
  <c r="H690" i="17" s="1"/>
  <c r="H691" i="17" a="1"/>
  <c r="H691" i="17" s="1"/>
  <c r="H692" i="17" a="1"/>
  <c r="H692" i="17" s="1"/>
  <c r="H693" i="17" a="1"/>
  <c r="H693" i="17" s="1"/>
  <c r="H694" i="17" a="1"/>
  <c r="H694" i="17" s="1"/>
  <c r="H695" i="17" a="1"/>
  <c r="H695" i="17" s="1"/>
  <c r="H696" i="17" a="1"/>
  <c r="H696" i="17" s="1"/>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s="1"/>
  <c r="H722" i="17" a="1"/>
  <c r="H722" i="17" s="1"/>
  <c r="H723" i="17" a="1"/>
  <c r="H723" i="17" s="1"/>
  <c r="H724" i="17" a="1"/>
  <c r="H724" i="17" s="1"/>
  <c r="H725" i="17" a="1"/>
  <c r="H725" i="17" s="1"/>
  <c r="H726" i="17" a="1"/>
  <c r="H726" i="17" s="1"/>
  <c r="H727" i="17" a="1"/>
  <c r="H727" i="17" s="1"/>
  <c r="H728" i="17" a="1"/>
  <c r="H728" i="17" s="1"/>
  <c r="H729" i="17" a="1"/>
  <c r="H729" i="17" s="1"/>
  <c r="H730" i="17" a="1"/>
  <c r="H730" i="17" s="1"/>
  <c r="H731" i="17" a="1"/>
  <c r="H731" i="17" s="1"/>
  <c r="H732" i="17" a="1"/>
  <c r="H732" i="17" s="1"/>
  <c r="H733" i="17" a="1"/>
  <c r="H733" i="17" s="1"/>
  <c r="H734" i="17" a="1"/>
  <c r="H734" i="17" s="1"/>
  <c r="H735" i="17" a="1"/>
  <c r="H735" i="17" s="1"/>
  <c r="H736" i="17" a="1"/>
  <c r="H736" i="17" s="1"/>
  <c r="H737" i="17" a="1"/>
  <c r="H737" i="17" s="1"/>
  <c r="H738" i="17" a="1"/>
  <c r="H738" i="17" s="1"/>
  <c r="H739" i="17" a="1"/>
  <c r="H739" i="17" s="1"/>
  <c r="H740" i="17" a="1"/>
  <c r="H740" i="17" s="1"/>
  <c r="H741" i="17" a="1"/>
  <c r="H741" i="17" s="1"/>
  <c r="H742" i="17" a="1"/>
  <c r="H742" i="17" s="1"/>
  <c r="H743" i="17" a="1"/>
  <c r="H743" i="17" s="1"/>
  <c r="H744" i="17" a="1"/>
  <c r="H744" i="17" s="1"/>
  <c r="H745" i="17" a="1"/>
  <c r="H745" i="17" s="1"/>
  <c r="H746" i="17" a="1"/>
  <c r="H746" i="17" s="1"/>
  <c r="H747" i="17" a="1"/>
  <c r="H747" i="17" s="1"/>
  <c r="H748" i="17" a="1"/>
  <c r="H748" i="17" s="1"/>
  <c r="H749" i="17" a="1"/>
  <c r="H749" i="17" s="1"/>
  <c r="H750" i="17" a="1"/>
  <c r="H750" i="17" s="1"/>
  <c r="H751" i="17" a="1"/>
  <c r="H751" i="17" s="1"/>
  <c r="H752" i="17" a="1"/>
  <c r="H752" i="17" s="1"/>
  <c r="H753" i="17" a="1"/>
  <c r="H753" i="17" s="1"/>
  <c r="H754" i="17" a="1"/>
  <c r="H754" i="17" s="1"/>
  <c r="H755" i="17" a="1"/>
  <c r="H755" i="17" s="1"/>
  <c r="H756" i="17" a="1"/>
  <c r="H756" i="17" s="1"/>
  <c r="H757" i="17" a="1"/>
  <c r="H757" i="17" s="1"/>
  <c r="H758" i="17" a="1"/>
  <c r="H758" i="17" s="1"/>
  <c r="H759" i="17" a="1"/>
  <c r="H759" i="17" s="1"/>
  <c r="H760" i="17" a="1"/>
  <c r="H760" i="17" s="1"/>
  <c r="H761" i="17" a="1"/>
  <c r="H761" i="17" s="1"/>
  <c r="H762" i="17" a="1"/>
  <c r="H762" i="17" s="1"/>
  <c r="H763" i="17" a="1"/>
  <c r="H763" i="17" s="1"/>
  <c r="H764" i="17" a="1"/>
  <c r="H764" i="17" s="1"/>
  <c r="H765" i="17" a="1"/>
  <c r="H765" i="17" s="1"/>
  <c r="H766" i="17" a="1"/>
  <c r="H766" i="17" s="1"/>
  <c r="H767" i="17" a="1"/>
  <c r="H767" i="17" s="1"/>
  <c r="H768" i="17" a="1"/>
  <c r="H768" i="17" s="1"/>
  <c r="H769" i="17" a="1"/>
  <c r="H769" i="17" s="1"/>
  <c r="H770" i="17" a="1"/>
  <c r="H770" i="17" s="1"/>
  <c r="H771" i="17" a="1"/>
  <c r="H771" i="17" s="1"/>
  <c r="H772" i="17" a="1"/>
  <c r="H772" i="17" s="1"/>
  <c r="H773" i="17" a="1"/>
  <c r="H773" i="17" s="1"/>
  <c r="H774" i="17" a="1"/>
  <c r="H774" i="17" s="1"/>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s="1"/>
  <c r="H795" i="17" a="1"/>
  <c r="H795" i="17" s="1"/>
  <c r="H796" i="17" a="1"/>
  <c r="H796" i="17" s="1"/>
  <c r="H797" i="17" a="1"/>
  <c r="H797" i="17" s="1"/>
  <c r="H798" i="17" a="1"/>
  <c r="H798" i="17" s="1"/>
  <c r="H799" i="17" a="1"/>
  <c r="H799" i="17" s="1"/>
  <c r="H800" i="17" a="1"/>
  <c r="H800" i="17" s="1"/>
  <c r="H801" i="17" a="1"/>
  <c r="H801" i="17" s="1"/>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s="1"/>
  <c r="H828" i="17" a="1"/>
  <c r="H828" i="17" s="1"/>
  <c r="H829" i="17" a="1"/>
  <c r="H829" i="17" s="1"/>
  <c r="H830" i="17" a="1"/>
  <c r="H830" i="17" s="1"/>
  <c r="H831" i="17" a="1"/>
  <c r="H831" i="17" s="1"/>
  <c r="H832" i="17" a="1"/>
  <c r="H832" i="17" s="1"/>
  <c r="H833" i="17" a="1"/>
  <c r="H833" i="17" s="1"/>
  <c r="H834" i="17" a="1"/>
  <c r="H834" i="17" s="1"/>
  <c r="H835" i="17" a="1"/>
  <c r="H835" i="17" s="1"/>
  <c r="H836" i="17" a="1"/>
  <c r="H836" i="17" s="1"/>
  <c r="H837" i="17" a="1"/>
  <c r="H837" i="17" s="1"/>
  <c r="H838" i="17" a="1"/>
  <c r="H838" i="17" s="1"/>
  <c r="H839" i="17" a="1"/>
  <c r="H839" i="17" s="1"/>
  <c r="H840" i="17" a="1"/>
  <c r="H840" i="17" s="1"/>
  <c r="H841" i="17" a="1"/>
  <c r="H841" i="17" s="1"/>
  <c r="H842" i="17" a="1"/>
  <c r="H842" i="17" s="1"/>
  <c r="H843" i="17" a="1"/>
  <c r="H843" i="17" s="1"/>
  <c r="H844" i="17" a="1"/>
  <c r="H844" i="17" s="1"/>
  <c r="H845" i="17" a="1"/>
  <c r="H845" i="17" s="1"/>
  <c r="H846" i="17" a="1"/>
  <c r="H846" i="17" s="1"/>
  <c r="H847" i="17" a="1"/>
  <c r="H847" i="17" s="1"/>
  <c r="H848" i="17" a="1"/>
  <c r="H848" i="17" s="1"/>
  <c r="H849" i="17" a="1"/>
  <c r="H849" i="17" s="1"/>
  <c r="H850" i="17" a="1"/>
  <c r="H850" i="17" s="1"/>
  <c r="H851" i="17" a="1"/>
  <c r="H851" i="17" s="1"/>
  <c r="H852" i="17" a="1"/>
  <c r="H852" i="17" s="1"/>
  <c r="H853" i="17" a="1"/>
  <c r="H853" i="17" s="1"/>
  <c r="H854" i="17" a="1"/>
  <c r="H854" i="17" s="1"/>
  <c r="H855" i="17" a="1"/>
  <c r="H855" i="17" s="1"/>
  <c r="H856" i="17" a="1"/>
  <c r="H856" i="17" s="1"/>
  <c r="H857" i="17" a="1"/>
  <c r="H857" i="17" s="1"/>
  <c r="H858" i="17" a="1"/>
  <c r="H858" i="17" s="1"/>
  <c r="H859" i="17" a="1"/>
  <c r="H859" i="17" s="1"/>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s="1"/>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s="1"/>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s="1"/>
  <c r="H910" i="17" a="1"/>
  <c r="H910" i="17" s="1"/>
  <c r="H911" i="17" a="1"/>
  <c r="H911" i="17" s="1"/>
  <c r="H912" i="17" a="1"/>
  <c r="H912" i="17" s="1"/>
  <c r="H913" i="17" a="1"/>
  <c r="H913" i="17" s="1"/>
  <c r="H914" i="17" a="1"/>
  <c r="H914" i="17" s="1"/>
  <c r="H915" i="17" a="1"/>
  <c r="H915" i="17" s="1"/>
  <c r="H916" i="17" a="1"/>
  <c r="H916" i="17" s="1"/>
  <c r="H917" i="17" a="1"/>
  <c r="H917" i="17" s="1"/>
  <c r="H918" i="17" a="1"/>
  <c r="H918" i="17" s="1"/>
  <c r="H919" i="17" a="1"/>
  <c r="H919" i="17" s="1"/>
  <c r="H920" i="17" a="1"/>
  <c r="H920" i="17" s="1"/>
  <c r="H921" i="17" a="1"/>
  <c r="H921" i="17" s="1"/>
  <c r="H922" i="17" a="1"/>
  <c r="H922" i="17" s="1"/>
  <c r="H923" i="17" a="1"/>
  <c r="H923" i="17" s="1"/>
  <c r="H924" i="17" a="1"/>
  <c r="H924" i="17" s="1"/>
  <c r="H925" i="17" a="1"/>
  <c r="H925" i="17" s="1"/>
  <c r="H926" i="17" a="1"/>
  <c r="H926" i="17" s="1"/>
  <c r="H927" i="17" a="1"/>
  <c r="H927" i="17" s="1"/>
  <c r="H928" i="17" a="1"/>
  <c r="H928" i="17" s="1"/>
  <c r="H929" i="17" a="1"/>
  <c r="H929" i="17" s="1"/>
  <c r="H930" i="17" a="1"/>
  <c r="H930" i="17" s="1"/>
  <c r="H931" i="17" a="1"/>
  <c r="H931" i="17" s="1"/>
  <c r="H932" i="17" a="1"/>
  <c r="H932" i="17" s="1"/>
  <c r="H933" i="17" a="1"/>
  <c r="H933" i="17" s="1"/>
  <c r="H934" i="17" a="1"/>
  <c r="H934" i="17" s="1"/>
  <c r="H935" i="17" a="1"/>
  <c r="H935" i="17" s="1"/>
  <c r="H936" i="17" a="1"/>
  <c r="H936" i="17" s="1"/>
  <c r="H937" i="17" a="1"/>
  <c r="H937" i="17" s="1"/>
  <c r="H938" i="17" a="1"/>
  <c r="H938" i="17" s="1"/>
  <c r="H939" i="17" a="1"/>
  <c r="H939" i="17" s="1"/>
  <c r="H940" i="17" a="1"/>
  <c r="H940" i="17" s="1"/>
  <c r="H941" i="17" a="1"/>
  <c r="H941" i="17" s="1"/>
  <c r="H942" i="17" a="1"/>
  <c r="H942" i="17" s="1"/>
  <c r="H943" i="17" a="1"/>
  <c r="H943" i="17" s="1"/>
  <c r="H944" i="17" a="1"/>
  <c r="H944" i="17" s="1"/>
  <c r="H945" i="17" a="1"/>
  <c r="H945" i="17" s="1"/>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s="1"/>
  <c r="H972" i="17" a="1"/>
  <c r="H972" i="17" s="1"/>
  <c r="H973" i="17" a="1"/>
  <c r="H973" i="17" s="1"/>
  <c r="H974" i="17" a="1"/>
  <c r="H974" i="17" s="1"/>
  <c r="H975" i="17" a="1"/>
  <c r="H975" i="17" s="1"/>
  <c r="H976" i="17" a="1"/>
  <c r="H976" i="17" s="1"/>
  <c r="H977" i="17" a="1"/>
  <c r="H977" i="17" s="1"/>
  <c r="H978" i="17" a="1"/>
  <c r="H978" i="17" s="1"/>
  <c r="H979" i="17" a="1"/>
  <c r="H979" i="17" s="1"/>
  <c r="H980" i="17" a="1"/>
  <c r="H980" i="17" s="1"/>
  <c r="H981" i="17" a="1"/>
  <c r="H981" i="17" s="1"/>
  <c r="H982" i="17" a="1"/>
  <c r="H982" i="17" s="1"/>
  <c r="H983" i="17" a="1"/>
  <c r="H983" i="17" s="1"/>
  <c r="H984" i="17" a="1"/>
  <c r="H984" i="17" s="1"/>
  <c r="H985" i="17" a="1"/>
  <c r="H985" i="17" s="1"/>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s="1"/>
  <c r="H996" i="17" a="1"/>
  <c r="H996" i="17" s="1"/>
  <c r="H997" i="17" a="1"/>
  <c r="H997" i="17" s="1"/>
  <c r="H998" i="17" a="1"/>
  <c r="H998" i="17" s="1"/>
  <c r="H999" i="17" a="1"/>
  <c r="H999" i="17" s="1"/>
  <c r="H1000" i="17" a="1"/>
  <c r="H1000" i="17" s="1"/>
  <c r="H1001" i="17" a="1"/>
  <c r="H1001" i="17" s="1"/>
  <c r="H2" i="17" a="1"/>
  <c r="H2" i="17" s="1"/>
  <c r="G3" i="17" a="1"/>
  <c r="G3" i="17" s="1"/>
  <c r="G4" i="17" a="1"/>
  <c r="G4" i="17" s="1"/>
  <c r="G5" i="17" a="1"/>
  <c r="G5" i="17" s="1"/>
  <c r="G6" i="17" a="1"/>
  <c r="G6" i="17" s="1"/>
  <c r="G7" i="17" a="1"/>
  <c r="G7" i="17" s="1"/>
  <c r="G8" i="17" a="1"/>
  <c r="G8" i="17" s="1"/>
  <c r="G9" i="17" a="1"/>
  <c r="G9" i="17" s="1"/>
  <c r="G10" i="17" a="1"/>
  <c r="G10" i="17" s="1"/>
  <c r="G11" i="17" a="1"/>
  <c r="G11" i="17" s="1"/>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s="1"/>
  <c r="G79" i="17" a="1"/>
  <c r="G79" i="17" s="1"/>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s="1"/>
  <c r="G92" i="17" a="1"/>
  <c r="G92" i="17" s="1"/>
  <c r="G93" i="17" a="1"/>
  <c r="G93" i="17" s="1"/>
  <c r="G94" i="17" a="1"/>
  <c r="G94" i="17" s="1"/>
  <c r="G95" i="17" a="1"/>
  <c r="G95" i="17" s="1"/>
  <c r="G96" i="17" a="1"/>
  <c r="G96" i="17" s="1"/>
  <c r="G97" i="17" a="1"/>
  <c r="G97" i="17" s="1"/>
  <c r="G98" i="17" a="1"/>
  <c r="G98" i="17" s="1"/>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s="1"/>
  <c r="G216" i="17" a="1"/>
  <c r="G216" i="17" s="1"/>
  <c r="G217" i="17" a="1"/>
  <c r="G217" i="17" s="1"/>
  <c r="G218" i="17" a="1"/>
  <c r="G218" i="17" s="1"/>
  <c r="G219" i="17" a="1"/>
  <c r="G219" i="17" s="1"/>
  <c r="G220" i="17" a="1"/>
  <c r="G220" i="17" s="1"/>
  <c r="G221" i="17" a="1"/>
  <c r="G221" i="17" s="1"/>
  <c r="G222" i="17" a="1"/>
  <c r="G222" i="17" s="1"/>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s="1"/>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s="1"/>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s="1"/>
  <c r="G347" i="17" a="1"/>
  <c r="G347" i="17" s="1"/>
  <c r="G348" i="17" a="1"/>
  <c r="G348" i="17" s="1"/>
  <c r="G349" i="17" a="1"/>
  <c r="G349" i="17" s="1"/>
  <c r="G350" i="17" a="1"/>
  <c r="G350" i="17" s="1"/>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s="1"/>
  <c r="G375" i="17" a="1"/>
  <c r="G375" i="17" s="1"/>
  <c r="G376" i="17" a="1"/>
  <c r="G376" i="17" s="1"/>
  <c r="G377" i="17" a="1"/>
  <c r="G377" i="17" s="1"/>
  <c r="G378" i="17" a="1"/>
  <c r="G378" i="17" s="1"/>
  <c r="G379" i="17" a="1"/>
  <c r="G379" i="17" s="1"/>
  <c r="G380" i="17" a="1"/>
  <c r="G380" i="17" s="1"/>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s="1"/>
  <c r="G396" i="17" a="1"/>
  <c r="G396" i="17" s="1"/>
  <c r="G397" i="17" a="1"/>
  <c r="G397" i="17" s="1"/>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s="1"/>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s="1"/>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s="1"/>
  <c r="G492" i="17" a="1"/>
  <c r="G492" i="17" s="1"/>
  <c r="G493" i="17" a="1"/>
  <c r="G493" i="17" s="1"/>
  <c r="G494" i="17" a="1"/>
  <c r="G494" i="17" s="1"/>
  <c r="G495" i="17" a="1"/>
  <c r="G495" i="17" s="1"/>
  <c r="G496" i="17" a="1"/>
  <c r="G496" i="17" s="1"/>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s="1"/>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s="1"/>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s="1"/>
  <c r="G620" i="17" a="1"/>
  <c r="G620" i="17" s="1"/>
  <c r="G621" i="17" a="1"/>
  <c r="G621" i="17" s="1"/>
  <c r="G622" i="17" a="1"/>
  <c r="G622" i="17" s="1"/>
  <c r="G623" i="17" a="1"/>
  <c r="G623" i="17" s="1"/>
  <c r="G624" i="17" a="1"/>
  <c r="G624" i="17" s="1"/>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s="1"/>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s="1"/>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s="1"/>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s="1"/>
  <c r="G849" i="17" a="1"/>
  <c r="G849" i="17" s="1"/>
  <c r="G850" i="17" a="1"/>
  <c r="G850" i="17" s="1"/>
  <c r="G851" i="17" a="1"/>
  <c r="G851" i="17" s="1"/>
  <c r="G852" i="17" a="1"/>
  <c r="G852" i="17" s="1"/>
  <c r="G853" i="17" a="1"/>
  <c r="G853" i="17" s="1"/>
  <c r="G854" i="17" a="1"/>
  <c r="G854" i="17"/>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s="1"/>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s="1"/>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s="1"/>
  <c r="G967" i="17" a="1"/>
  <c r="G967" i="17" s="1"/>
  <c r="G968" i="17" a="1"/>
  <c r="G968" i="17" s="1"/>
  <c r="G969" i="17" a="1"/>
  <c r="G969" i="17"/>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s="1"/>
  <c r="G995" i="17" a="1"/>
  <c r="G995" i="17" s="1"/>
  <c r="G996" i="17" a="1"/>
  <c r="G996" i="17" s="1"/>
  <c r="G997" i="17" a="1"/>
  <c r="G997" i="17" s="1"/>
  <c r="G998" i="17" a="1"/>
  <c r="G998" i="17" s="1"/>
  <c r="G999" i="17" a="1"/>
  <c r="G999" i="17" s="1"/>
  <c r="G1000" i="17" a="1"/>
  <c r="G1000" i="17" s="1"/>
  <c r="G1001" i="17" a="1"/>
  <c r="G1001" i="17" s="1"/>
  <c r="G2" i="17" a="1"/>
  <c r="G2" i="17" s="1"/>
  <c r="C5" i="33" l="1"/>
  <c r="C7" i="33"/>
  <c r="X10" i="17"/>
  <c r="X11" i="17"/>
  <c r="X12" i="17"/>
  <c r="X13"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<sst xmlns="http://schemas.openxmlformats.org/spreadsheetml/2006/main" count="11464" uniqueCount="6248">
  <si>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</si>
  <si>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</si>
  <si>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</si>
  <si>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</si>
  <si>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</si>
  <si>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</si>
  <si>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</si>
  <si>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</si>
  <si>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</si>
  <si>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</si>
  <si>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</si>
  <si>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</si>
  <si>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</si>
  <si>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</si>
  <si>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</si>
  <si>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</si>
  <si>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</si>
  <si>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</si>
  <si>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</si>
  <si>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</si>
  <si>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</si>
  <si>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</si>
  <si>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</si>
  <si>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</si>
  <si>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</si>
  <si>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</si>
  <si>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</si>
  <si>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</si>
  <si>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</si>
  <si>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</si>
  <si>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</si>
  <si>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</si>
  <si>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</si>
  <si>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</si>
  <si>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</si>
  <si>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</si>
  <si>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</si>
  <si>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</si>
  <si>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</si>
  <si>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</si>
  <si>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</si>
  <si>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</si>
  <si>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</si>
  <si>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</si>
  <si>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</si>
  <si>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</si>
  <si>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</si>
  <si>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</si>
  <si>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</si>
  <si>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</si>
  <si>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</si>
  <si>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</si>
  <si>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</si>
  <si>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</si>
  <si>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</si>
  <si>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</si>
  <si>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</si>
  <si>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</si>
  <si>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</si>
  <si>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</si>
  <si>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</si>
  <si>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</si>
  <si>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</si>
  <si>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</si>
  <si>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</si>
  <si>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</si>
  <si>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</si>
  <si>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</si>
  <si>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</si>
  <si>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</si>
  <si>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</si>
  <si>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</si>
  <si>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</si>
  <si>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</si>
  <si>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</si>
  <si>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</si>
  <si>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</si>
  <si>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</si>
  <si>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</si>
  <si>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</si>
  <si>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</si>
  <si>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</si>
  <si>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</si>
  <si>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</si>
  <si>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</si>
  <si>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</si>
  <si>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</si>
  <si>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</si>
  <si>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</si>
  <si>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</si>
  <si>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</si>
  <si>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</si>
  <si>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</si>
  <si>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</si>
  <si>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</si>
  <si>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</si>
  <si>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</si>
  <si>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</si>
  <si>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</si>
  <si>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</si>
  <si>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</si>
  <si>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</si>
  <si>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</si>
  <si>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</si>
  <si>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</si>
  <si>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</si>
  <si>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</si>
  <si>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</si>
  <si>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</si>
  <si>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</si>
  <si>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</si>
  <si>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</si>
  <si>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</si>
  <si>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</si>
  <si>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</si>
  <si>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</si>
  <si>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</si>
  <si>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</si>
  <si>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</si>
  <si>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</si>
  <si>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</si>
  <si>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</si>
  <si>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</si>
  <si>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</si>
  <si>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</si>
  <si>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</si>
  <si>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</si>
  <si>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</si>
  <si>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</si>
  <si>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</si>
  <si>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</si>
  <si>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</si>
  <si>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</si>
  <si>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</si>
  <si>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</si>
  <si>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</si>
  <si>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</si>
  <si>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</si>
  <si>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</si>
  <si>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</si>
  <si>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</si>
  <si>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</si>
  <si>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</si>
  <si>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</si>
  <si>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</si>
  <si>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</si>
  <si>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</si>
  <si>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</si>
  <si>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</si>
  <si>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</si>
  <si>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</si>
  <si>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</si>
  <si>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</si>
  <si>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</si>
  <si>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</si>
  <si>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</si>
  <si>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</si>
  <si>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</si>
  <si>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</si>
  <si>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</si>
  <si>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</si>
  <si>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</si>
  <si>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</si>
  <si>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</si>
  <si>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</si>
  <si>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</si>
  <si>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</si>
  <si>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</si>
  <si>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</si>
  <si>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</si>
  <si>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</si>
  <si>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</si>
  <si>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</si>
  <si>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</si>
  <si>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</si>
  <si>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</si>
  <si>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</si>
  <si>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</si>
  <si>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</si>
  <si>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</si>
  <si>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</si>
  <si>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</si>
  <si>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</si>
  <si>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</si>
  <si>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</si>
  <si>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</si>
  <si>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</si>
  <si>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</si>
  <si>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</si>
  <si>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</si>
  <si>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</si>
  <si>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</si>
  <si>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</si>
  <si>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</si>
  <si>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</si>
  <si>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</si>
  <si>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</si>
  <si>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</si>
  <si>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</si>
  <si>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</si>
  <si>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</si>
  <si>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</si>
  <si>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</si>
  <si>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</si>
  <si>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</si>
  <si>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</si>
  <si>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</si>
  <si>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</si>
  <si>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</si>
  <si>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</si>
  <si>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</si>
  <si>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</si>
  <si>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</si>
  <si>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</si>
  <si>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</si>
  <si>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</si>
  <si>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</si>
  <si>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</si>
  <si>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</si>
  <si>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</si>
  <si>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</si>
  <si>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</si>
  <si>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</si>
  <si>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</si>
  <si>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</si>
  <si>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</si>
  <si>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</si>
  <si>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</si>
  <si>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</si>
  <si>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</si>
  <si>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</si>
  <si>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</si>
  <si>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</si>
  <si>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</si>
  <si>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</si>
  <si>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</si>
  <si>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</si>
  <si>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</si>
  <si>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</si>
  <si>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</si>
  <si>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</si>
  <si>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</si>
  <si>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</si>
  <si>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</si>
  <si>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</si>
  <si>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</si>
  <si>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</si>
  <si>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</si>
  <si>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</si>
  <si>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</si>
  <si>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</si>
  <si>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</si>
  <si>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</si>
  <si>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</si>
  <si>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</si>
  <si>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</si>
  <si>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</si>
  <si>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</si>
  <si>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</si>
  <si>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</si>
  <si>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</si>
  <si>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</si>
  <si>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</si>
  <si>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</si>
  <si>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</si>
  <si>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</si>
  <si>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</si>
  <si>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</si>
  <si>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</si>
  <si>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</si>
  <si>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</si>
  <si>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</si>
  <si>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</si>
  <si>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</si>
  <si>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</si>
  <si>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</si>
  <si>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</si>
  <si>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</si>
  <si>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</si>
  <si>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</si>
  <si>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</si>
  <si>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</si>
  <si>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</si>
  <si>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</si>
  <si>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</si>
  <si>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</si>
  <si>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</si>
  <si>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</si>
  <si>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</si>
  <si>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</si>
  <si>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</si>
  <si>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</si>
  <si>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</si>
  <si>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</si>
  <si>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</si>
  <si>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</si>
  <si>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</si>
  <si>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</si>
  <si>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</si>
  <si>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</si>
  <si>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</si>
  <si>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</si>
  <si>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</si>
  <si>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</si>
  <si>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</si>
  <si>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</si>
  <si>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</si>
  <si>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</si>
  <si>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</si>
  <si>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</si>
  <si>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</si>
  <si>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</si>
  <si>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</si>
  <si>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</si>
  <si>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</si>
  <si>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</si>
  <si>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</si>
  <si>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</si>
  <si>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</si>
  <si>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</si>
  <si>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</si>
  <si>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</si>
  <si>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</si>
  <si>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</si>
  <si>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</si>
  <si>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</si>
  <si>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</si>
  <si>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</si>
  <si>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</si>
  <si>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</si>
  <si>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</si>
  <si>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</si>
  <si>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</si>
  <si>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</si>
  <si>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</si>
  <si>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</si>
  <si>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</si>
  <si>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</si>
  <si>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</si>
  <si>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</si>
  <si>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</si>
  <si>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</si>
  <si>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</si>
  <si>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</si>
  <si>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</si>
  <si>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</si>
  <si>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</si>
  <si>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</si>
  <si>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</si>
  <si>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</si>
  <si>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</si>
  <si>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</si>
  <si>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</si>
  <si>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</si>
  <si>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</si>
  <si>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</si>
  <si>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</si>
  <si>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</si>
  <si>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</si>
  <si>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</si>
  <si>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</si>
  <si>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</si>
  <si>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</si>
  <si>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</si>
  <si>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</si>
  <si>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</si>
  <si>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</si>
  <si>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</si>
  <si>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</si>
  <si>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</si>
  <si>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</si>
  <si>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</si>
  <si>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</si>
  <si>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</si>
  <si>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</si>
  <si>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</si>
  <si>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</si>
  <si>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</si>
  <si>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</si>
  <si>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</si>
  <si>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</si>
  <si>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</si>
  <si>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</si>
  <si>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</si>
  <si>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</si>
  <si>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</si>
  <si>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</si>
  <si>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</si>
  <si>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</si>
  <si>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</si>
  <si>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</si>
  <si>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</si>
  <si>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</si>
  <si>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</si>
  <si>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</si>
  <si>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</si>
  <si>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</si>
  <si>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</si>
  <si>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</si>
  <si>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</si>
  <si>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</si>
  <si>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</si>
  <si>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</si>
  <si>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</si>
  <si>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</si>
  <si>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</si>
  <si>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</si>
  <si>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</si>
  <si>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</si>
  <si>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</si>
  <si>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</si>
  <si>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</si>
  <si>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</si>
  <si>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</si>
  <si>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</si>
  <si>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</si>
  <si>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</si>
  <si>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</si>
  <si>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</si>
  <si>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</si>
  <si>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</si>
  <si>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</si>
  <si>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</si>
  <si>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</si>
  <si>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</si>
  <si>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</si>
  <si>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</si>
  <si>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</si>
  <si>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</si>
  <si>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</si>
  <si>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</si>
  <si>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</si>
  <si>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</si>
  <si>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</si>
  <si>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</si>
  <si>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</si>
  <si>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</si>
  <si>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</si>
  <si>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</si>
  <si>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</si>
  <si>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</si>
  <si>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</si>
  <si>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</si>
  <si>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</si>
  <si>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</si>
  <si>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</si>
  <si>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</si>
  <si>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</si>
  <si>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</si>
  <si>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</si>
  <si>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</si>
  <si>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</si>
  <si>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</si>
  <si>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</si>
  <si>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</si>
  <si>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</si>
  <si>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</si>
  <si>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</si>
  <si>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</si>
  <si>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</si>
  <si>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</si>
  <si>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</si>
  <si>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</si>
  <si>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</si>
  <si>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</si>
  <si>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</si>
  <si>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</si>
  <si>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</si>
  <si>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</si>
  <si>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</si>
  <si>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</si>
  <si>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</si>
  <si>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</si>
  <si>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</si>
  <si>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</si>
  <si>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</si>
  <si>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</si>
  <si>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</si>
  <si>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</si>
  <si>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</si>
  <si>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</si>
  <si>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</si>
  <si>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</si>
  <si>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</si>
  <si>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</si>
  <si>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</si>
  <si>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</si>
  <si>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</si>
  <si>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</si>
  <si>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</si>
  <si>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</si>
  <si>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</si>
  <si>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</si>
  <si>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</si>
  <si>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</si>
  <si>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</si>
  <si>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</si>
  <si>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</si>
  <si>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</si>
  <si>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</si>
  <si>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</si>
  <si>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</si>
  <si>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</si>
  <si>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</si>
  <si>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</si>
  <si>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</si>
  <si>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</si>
  <si>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</si>
  <si>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</si>
  <si>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</si>
  <si>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</si>
  <si>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</si>
  <si>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</si>
  <si>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</si>
  <si>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</si>
  <si>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</si>
  <si>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</si>
  <si>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</si>
  <si>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</si>
  <si>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</si>
  <si>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</si>
  <si>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</si>
  <si>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</si>
  <si>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</si>
  <si>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</si>
  <si>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</si>
  <si>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</si>
  <si>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</si>
  <si>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</si>
  <si>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</si>
  <si>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</si>
  <si>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</si>
  <si>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</si>
  <si>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</si>
  <si>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</si>
  <si>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</si>
  <si>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</si>
  <si>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</si>
  <si>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</si>
  <si>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</si>
  <si>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</si>
  <si>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</si>
  <si>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</si>
  <si>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</si>
  <si>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</si>
  <si>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</si>
  <si>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</si>
  <si>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</si>
  <si>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</si>
  <si>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</si>
  <si>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</si>
  <si>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</si>
  <si>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</si>
  <si>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</si>
  <si>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</si>
  <si>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</si>
  <si>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</si>
  <si>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</si>
  <si>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</si>
  <si>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</si>
  <si>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</si>
  <si>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</si>
  <si>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</si>
  <si>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</si>
  <si>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</si>
  <si>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</si>
  <si>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</si>
  <si>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</si>
  <si>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</si>
  <si>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</si>
  <si>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</si>
  <si>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</si>
  <si>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</si>
  <si>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</si>
  <si>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</si>
  <si>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</si>
  <si>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</si>
  <si>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</si>
  <si>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</si>
  <si>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</si>
  <si>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</si>
  <si>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</si>
  <si>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</si>
  <si>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</si>
  <si>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</si>
  <si>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</si>
  <si>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</si>
  <si>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</si>
  <si>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</si>
  <si>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</si>
  <si>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</si>
  <si>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</si>
  <si>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</si>
  <si>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</si>
  <si>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</si>
  <si>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</si>
  <si>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</si>
  <si>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</si>
  <si>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</si>
  <si>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</si>
  <si>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</si>
  <si>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</si>
  <si>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</si>
  <si>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</si>
  <si>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</si>
  <si>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</si>
  <si>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</si>
  <si>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</si>
  <si>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</si>
  <si>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</si>
  <si>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</si>
  <si>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</si>
  <si>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</si>
  <si>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</si>
  <si>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</si>
  <si>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</si>
  <si>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</si>
  <si>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</si>
  <si>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</si>
  <si>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</si>
  <si>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</si>
  <si>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</si>
  <si>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</si>
  <si>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</si>
  <si>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</si>
  <si>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</si>
  <si>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</si>
  <si>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</si>
  <si>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</si>
  <si>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</si>
  <si>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</si>
  <si>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</si>
  <si>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</si>
  <si>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</si>
  <si>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</si>
  <si>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</si>
  <si>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</si>
  <si>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</si>
  <si>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</si>
  <si>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</si>
  <si>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</si>
  <si>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</si>
  <si>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</si>
  <si>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</si>
  <si>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</si>
  <si>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</si>
  <si>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</si>
  <si>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</si>
  <si>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</si>
  <si>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</si>
  <si>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</si>
  <si>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</si>
  <si>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</si>
  <si>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</si>
  <si>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</si>
  <si>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</si>
  <si>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</si>
  <si>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</si>
  <si>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</si>
  <si>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</si>
  <si>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</si>
  <si>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</si>
  <si>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</si>
  <si>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</si>
  <si>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</si>
  <si>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</si>
  <si>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</si>
  <si>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</si>
  <si>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</si>
  <si>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</si>
  <si>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</si>
  <si>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</si>
  <si>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</si>
  <si>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</si>
  <si>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</si>
  <si>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</si>
  <si>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</si>
  <si>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</si>
  <si>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</si>
  <si>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</si>
  <si>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</si>
  <si>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</si>
  <si>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</si>
  <si>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</si>
  <si>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</si>
  <si>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</si>
  <si>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</si>
  <si>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</si>
  <si>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</si>
  <si>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</si>
  <si>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</si>
  <si>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</si>
  <si>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</si>
  <si>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</si>
  <si>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</si>
  <si>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</si>
  <si>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</si>
  <si>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</si>
  <si>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</si>
  <si>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</si>
  <si>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</si>
  <si>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</si>
  <si>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</si>
  <si>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</si>
  <si>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</si>
  <si>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</si>
  <si>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</si>
  <si>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</si>
  <si>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</si>
  <si>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</si>
  <si>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</si>
  <si>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</si>
  <si>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</si>
  <si>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</si>
  <si>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</si>
  <si>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</si>
  <si>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</si>
  <si>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</si>
  <si>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</si>
  <si>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</si>
  <si>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</si>
  <si>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</si>
  <si>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</si>
  <si>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</si>
  <si>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</si>
  <si>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</si>
  <si>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</si>
  <si>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</si>
  <si>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</si>
  <si>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</si>
  <si>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</si>
  <si>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</si>
  <si>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</si>
  <si>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</si>
  <si>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</si>
  <si>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</si>
  <si>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</si>
  <si>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</si>
  <si>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</si>
  <si>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</si>
  <si>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</si>
  <si>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</si>
  <si>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</si>
  <si>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</si>
  <si>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</si>
  <si>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</si>
  <si>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</si>
  <si>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</si>
  <si>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</si>
  <si>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</si>
  <si>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</si>
  <si>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</si>
  <si>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</si>
  <si>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</si>
  <si>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</si>
  <si>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</si>
  <si>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</si>
  <si>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</si>
  <si>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</si>
  <si>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</si>
  <si>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</si>
  <si>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</si>
  <si>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</si>
  <si>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</si>
  <si>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</si>
  <si>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</si>
  <si>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</si>
  <si>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</si>
  <si>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</si>
  <si>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</si>
  <si>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</si>
  <si>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</si>
  <si>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</si>
  <si>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</si>
  <si>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</si>
  <si>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</si>
  <si>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</si>
  <si>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</si>
  <si>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</si>
  <si>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</si>
  <si>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</si>
  <si>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</si>
  <si>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</si>
  <si>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</si>
  <si>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</si>
  <si>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</si>
  <si>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</si>
  <si>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</si>
  <si>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</si>
  <si>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</si>
  <si>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</si>
  <si>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</si>
  <si>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</si>
  <si>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</si>
  <si>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</si>
  <si>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</si>
  <si>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</si>
  <si>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</si>
  <si>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</si>
  <si>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</si>
  <si>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</si>
  <si>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</si>
  <si>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</si>
  <si>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</si>
  <si>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</si>
  <si>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</si>
  <si>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</si>
  <si>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</si>
  <si>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</si>
  <si>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</si>
  <si>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</si>
  <si>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</si>
  <si>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</si>
  <si>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</si>
  <si>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</si>
  <si>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</si>
  <si>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</si>
  <si>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</si>
  <si>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</si>
  <si>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</si>
  <si>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</si>
  <si>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</si>
  <si>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</si>
  <si>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</si>
  <si>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</si>
  <si>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</si>
  <si>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</si>
  <si>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</si>
  <si>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</si>
  <si>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</si>
  <si>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</si>
  <si>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</si>
  <si>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</si>
  <si>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</si>
  <si>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</si>
  <si>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</si>
  <si>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</si>
  <si>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</si>
  <si>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</si>
  <si>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</si>
  <si>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</si>
  <si>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</si>
  <si>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</si>
  <si>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</si>
  <si>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</si>
  <si>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</si>
  <si>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</si>
  <si>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</si>
  <si>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</si>
  <si>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</si>
  <si>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</si>
  <si>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</si>
  <si>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</si>
  <si>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</si>
  <si>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</si>
  <si>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</si>
  <si>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</si>
  <si>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</si>
  <si>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</si>
  <si>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</si>
  <si>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</si>
  <si>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</si>
  <si>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</si>
  <si>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</si>
  <si>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</si>
  <si>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</si>
  <si>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</si>
  <si>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</si>
  <si>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</si>
  <si>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</si>
  <si>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</si>
  <si>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</si>
  <si>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</si>
  <si>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</si>
  <si>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</si>
  <si>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</si>
  <si>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</si>
  <si>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</si>
  <si>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</si>
  <si>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</si>
  <si>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</si>
  <si>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</si>
  <si>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</si>
  <si>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</si>
  <si>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</si>
  <si>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</si>
  <si>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</si>
  <si>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</si>
  <si>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</si>
  <si>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</si>
  <si>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</si>
  <si>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</si>
  <si>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</si>
  <si>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</si>
  <si>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</si>
  <si>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</si>
  <si>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</si>
  <si>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</si>
  <si>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</si>
  <si>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</si>
  <si>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</si>
  <si>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</si>
  <si>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</si>
  <si>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</si>
  <si>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</si>
  <si>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</si>
  <si>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</si>
  <si>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</si>
  <si>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</si>
  <si>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</si>
  <si>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</si>
  <si>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</si>
  <si>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</si>
  <si>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</si>
  <si>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</si>
  <si>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</si>
  <si>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</si>
  <si>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</si>
  <si>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</si>
  <si>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</si>
  <si>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</si>
  <si>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</si>
  <si>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</si>
  <si>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</si>
  <si>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</si>
  <si>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</si>
  <si>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</si>
  <si>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</si>
  <si>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</si>
  <si>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</si>
  <si>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</si>
  <si>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</si>
  <si>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</si>
  <si>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</si>
  <si>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</si>
  <si>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</si>
  <si>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</si>
  <si>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</si>
  <si>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</si>
  <si>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</si>
  <si>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</si>
  <si>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</si>
  <si>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</si>
  <si>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</si>
  <si>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</si>
  <si>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</si>
  <si>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</si>
  <si>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</si>
  <si>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</si>
  <si>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</si>
  <si>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</si>
  <si>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</si>
  <si>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</si>
  <si>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</si>
  <si>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</si>
  <si>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</si>
  <si>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</si>
  <si>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</si>
  <si>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</si>
  <si>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</si>
  <si>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</si>
  <si>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</si>
  <si>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</si>
  <si>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</si>
  <si>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</si>
  <si>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</si>
  <si>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</si>
  <si>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</si>
  <si>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</si>
  <si>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</si>
  <si>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</si>
  <si>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</si>
  <si>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</si>
  <si>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</si>
  <si>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</si>
  <si>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</si>
  <si>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</si>
  <si>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</si>
  <si>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</si>
  <si>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</si>
  <si>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</si>
  <si>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</si>
  <si>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</si>
  <si>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</si>
  <si>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</si>
  <si>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</si>
  <si>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</si>
  <si>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</si>
  <si>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</si>
  <si>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</si>
  <si>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</si>
  <si>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</si>
  <si>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</si>
  <si>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</si>
  <si>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</si>
  <si>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</si>
  <si>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</si>
  <si>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</si>
  <si>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</si>
  <si>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</si>
  <si>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</si>
  <si>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</si>
  <si>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</si>
  <si>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</si>
  <si>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</si>
  <si>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</si>
  <si>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</si>
  <si>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</si>
  <si>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</si>
  <si>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</si>
  <si>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</si>
  <si>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</si>
  <si>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</si>
  <si>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</si>
  <si>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</si>
  <si>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</si>
  <si>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</si>
  <si>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</si>
  <si>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</si>
  <si>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</si>
  <si>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</si>
  <si>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</si>
  <si>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</si>
  <si>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</si>
  <si>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</si>
  <si>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</si>
  <si>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</si>
  <si>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</si>
  <si>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</si>
  <si>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</si>
  <si>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</si>
  <si>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</si>
  <si>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</si>
  <si>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</si>
  <si>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</si>
  <si>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</si>
  <si>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</si>
  <si>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</si>
  <si>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</si>
  <si>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</si>
  <si>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</si>
  <si>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</si>
  <si>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</si>
  <si>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</si>
  <si>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</si>
  <si>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</si>
  <si>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</si>
  <si>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</si>
  <si>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</si>
  <si>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</si>
  <si>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</si>
  <si>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</si>
  <si>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</si>
  <si>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</si>
  <si>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</si>
  <si>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</si>
  <si>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</si>
  <si>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</si>
  <si>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</si>
  <si>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</si>
  <si>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</si>
  <si>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</si>
  <si>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</si>
  <si>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</si>
  <si>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</si>
  <si>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</si>
  <si>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</si>
  <si>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</si>
  <si>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</si>
  <si>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</si>
  <si>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</si>
  <si>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</si>
  <si>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</si>
  <si>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</si>
  <si>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</si>
  <si>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</si>
  <si>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</si>
  <si>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</si>
  <si>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</si>
  <si>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</si>
  <si>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</si>
  <si>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</si>
  <si>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</si>
  <si>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</si>
  <si>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</si>
  <si>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</si>
  <si>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</si>
  <si>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</si>
  <si>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</si>
  <si>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</si>
  <si>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</si>
  <si>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</si>
  <si>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</si>
  <si>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</si>
  <si>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</si>
  <si>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</si>
  <si>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</si>
  <si>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</si>
  <si>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</si>
  <si>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</si>
  <si>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</si>
  <si>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</si>
  <si>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</si>
  <si>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</si>
  <si>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</si>
  <si>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</si>
  <si>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</si>
  <si>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</si>
  <si>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</si>
  <si>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</si>
  <si>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</si>
  <si>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</si>
  <si>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</si>
  <si>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</si>
  <si>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</si>
  <si>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</si>
  <si>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</si>
  <si>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</si>
  <si>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</si>
  <si>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</si>
  <si>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</si>
  <si>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</si>
  <si>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</si>
  <si>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</si>
  <si>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</si>
  <si>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</si>
  <si>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</si>
  <si>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</si>
  <si>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</si>
  <si>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</si>
  <si>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</si>
  <si>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</si>
  <si>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</si>
  <si>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</si>
  <si>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</si>
  <si>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</si>
  <si>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</si>
  <si>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</si>
  <si>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</si>
  <si>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</si>
  <si>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</si>
  <si>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</si>
  <si>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</si>
  <si>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</si>
  <si>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</si>
  <si>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</si>
  <si>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</si>
  <si>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</si>
  <si>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</si>
  <si>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</si>
  <si>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</si>
  <si>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</si>
  <si>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</si>
  <si>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</si>
  <si>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</si>
  <si>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</si>
  <si>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</si>
  <si>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</si>
  <si>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</si>
  <si>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</si>
  <si>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</si>
  <si>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</si>
  <si>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</si>
  <si>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</si>
  <si>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</si>
  <si>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</si>
  <si>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</si>
  <si>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</si>
  <si>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</si>
  <si>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</si>
  <si>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</si>
  <si>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</si>
  <si>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</si>
  <si>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</si>
  <si>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</si>
  <si>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</si>
  <si>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</si>
  <si>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</si>
  <si>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</si>
  <si>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</si>
  <si>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</si>
  <si>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</si>
  <si>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</si>
  <si>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</si>
  <si>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</si>
  <si>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</si>
  <si>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</si>
  <si>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</si>
  <si>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</si>
  <si>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</si>
  <si>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</si>
  <si>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</si>
  <si>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</si>
  <si>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</si>
  <si>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</si>
  <si>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</si>
  <si>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</si>
  <si>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</si>
  <si>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</si>
  <si>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</si>
  <si>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</si>
  <si>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</si>
  <si>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</si>
  <si>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</si>
  <si>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</si>
  <si>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</si>
  <si>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</si>
  <si>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</si>
  <si>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</si>
  <si>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</si>
  <si>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</si>
  <si>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</si>
  <si>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</si>
  <si>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</si>
  <si>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</si>
  <si>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</si>
  <si>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</si>
  <si>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</si>
  <si>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</si>
  <si>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</si>
  <si>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</si>
  <si>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</si>
  <si>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</si>
  <si>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</si>
  <si>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</si>
  <si>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</si>
  <si>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</si>
  <si>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</si>
  <si>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</si>
  <si>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</si>
  <si>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</si>
  <si>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</si>
  <si>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</si>
  <si>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</si>
  <si>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</si>
  <si>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</si>
  <si>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</si>
  <si>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</si>
  <si>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</si>
  <si>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</si>
  <si>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</si>
  <si>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</si>
  <si>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</si>
  <si>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</si>
  <si>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</si>
  <si>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</si>
  <si>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</si>
  <si>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</si>
  <si>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</si>
  <si>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</si>
  <si>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</si>
  <si>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</si>
  <si>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</si>
  <si>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</si>
  <si>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</si>
  <si>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</si>
  <si>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</si>
  <si>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</si>
  <si>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</si>
  <si>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</si>
  <si>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</si>
  <si>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</si>
  <si>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</si>
  <si>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</si>
  <si>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</si>
  <si>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</si>
  <si>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</si>
  <si>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</si>
  <si>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</si>
  <si>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</si>
  <si>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</si>
  <si>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</si>
  <si>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</si>
  <si>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</si>
  <si>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</si>
  <si>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</si>
  <si>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</si>
  <si>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</si>
  <si>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</si>
  <si>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</si>
  <si>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</si>
  <si>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</si>
  <si>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</si>
  <si>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</si>
  <si>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</si>
  <si>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</si>
  <si>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</si>
  <si>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</si>
  <si>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</si>
  <si>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</si>
  <si>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</si>
  <si>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</si>
  <si>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</si>
  <si>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</si>
  <si>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</si>
  <si>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</si>
  <si>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</si>
  <si>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</si>
  <si>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</si>
  <si>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</si>
  <si>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</si>
  <si>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</si>
  <si>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</si>
  <si>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</si>
  <si>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</si>
  <si>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</si>
  <si>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</si>
  <si>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</si>
  <si>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</si>
  <si>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</si>
  <si>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</si>
  <si>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</si>
  <si>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</si>
  <si>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</si>
  <si>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</si>
  <si>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</si>
  <si>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</si>
  <si>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</si>
  <si>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</si>
  <si>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</si>
  <si>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</si>
  <si>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</si>
  <si>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</si>
  <si>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</si>
  <si>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</si>
  <si>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</si>
  <si>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</si>
  <si>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</si>
  <si>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</si>
  <si>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</si>
  <si>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</si>
  <si>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</si>
  <si>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</si>
  <si>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</si>
  <si>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</si>
  <si>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</si>
  <si>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</si>
  <si>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</si>
  <si>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</si>
  <si>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</si>
  <si>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</si>
  <si>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</si>
  <si>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</si>
  <si>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</si>
  <si>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</si>
  <si>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</si>
  <si>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</si>
  <si>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</si>
  <si>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</si>
  <si>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</si>
  <si>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</si>
  <si>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</si>
  <si>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</si>
  <si>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</si>
  <si>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</si>
  <si>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</si>
  <si>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</si>
  <si>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</si>
  <si>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</si>
  <si>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</si>
  <si>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</si>
  <si>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</si>
  <si>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</si>
  <si>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</si>
  <si>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</si>
  <si>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</si>
  <si>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</si>
  <si>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</si>
  <si>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</si>
  <si>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</si>
  <si>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</si>
  <si>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</si>
  <si>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</si>
  <si>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</si>
  <si>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</si>
  <si>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</si>
  <si>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</si>
  <si>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</si>
  <si>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</si>
  <si>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</si>
  <si>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</si>
  <si>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</si>
  <si>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</si>
  <si>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</si>
  <si>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</si>
  <si>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</si>
  <si>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</si>
  <si>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</si>
  <si>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</si>
  <si>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</si>
  <si>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</si>
  <si>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</si>
  <si>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</si>
  <si>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</si>
  <si>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</si>
  <si>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</si>
  <si>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</si>
  <si>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</si>
  <si>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</si>
  <si>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</si>
  <si>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</si>
  <si>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</si>
  <si>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</si>
  <si>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</si>
  <si>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</si>
  <si>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</si>
  <si>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</si>
  <si>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</si>
  <si>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</si>
  <si>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</si>
  <si>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</si>
  <si>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</si>
  <si>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</si>
  <si>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</si>
  <si>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</si>
  <si>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</si>
  <si>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</si>
  <si>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</si>
  <si>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</si>
  <si>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</si>
  <si>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</si>
  <si>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</si>
  <si>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</si>
  <si>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</si>
  <si>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</si>
  <si>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</si>
  <si>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</si>
  <si>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</si>
  <si>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</si>
  <si>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</si>
  <si>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</si>
  <si>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</si>
  <si>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</si>
  <si>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</si>
  <si>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</si>
  <si>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</si>
  <si>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</si>
  <si>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</si>
  <si>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</si>
  <si>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</si>
  <si>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</si>
  <si>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</si>
  <si>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</si>
  <si>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</si>
  <si>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</si>
  <si>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</si>
  <si>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</si>
  <si>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</si>
  <si>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</si>
  <si>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</si>
  <si>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</si>
  <si>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</si>
  <si>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</si>
  <si>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</si>
  <si>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</si>
  <si>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</si>
  <si>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</si>
  <si>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</si>
  <si>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</si>
  <si>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</si>
  <si>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</si>
  <si>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</si>
  <si>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</si>
  <si>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</si>
  <si>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</si>
  <si>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</si>
  <si>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</si>
  <si>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</si>
  <si>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</si>
  <si>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</si>
  <si>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</si>
  <si>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</si>
  <si>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</si>
  <si>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</si>
  <si>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</si>
  <si>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</si>
  <si>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</si>
  <si>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</si>
  <si>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</si>
  <si>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</si>
  <si>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</si>
  <si>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</si>
  <si>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</si>
  <si>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</si>
  <si>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</si>
  <si>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</si>
  <si>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</si>
  <si>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</si>
  <si>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</si>
  <si>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</si>
  <si>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</si>
  <si>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</si>
  <si>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</si>
  <si>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</si>
  <si>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</si>
  <si>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</si>
  <si>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</si>
  <si>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</si>
  <si>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</si>
  <si>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</si>
  <si>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</si>
  <si>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</si>
  <si>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</si>
  <si>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</si>
  <si>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</si>
  <si>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</si>
  <si>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</si>
  <si>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</si>
  <si>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</si>
  <si>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</si>
  <si>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</si>
  <si>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</si>
  <si>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</si>
  <si>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</si>
  <si>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</si>
  <si>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</si>
  <si>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</si>
  <si>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</si>
  <si>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</si>
  <si>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</si>
  <si>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</si>
  <si>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</si>
  <si>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</si>
  <si>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</si>
  <si>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</si>
  <si>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</si>
  <si>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</si>
  <si>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</si>
  <si>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</si>
  <si>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</si>
  <si>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</si>
  <si>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</si>
  <si>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</si>
  <si>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</si>
  <si>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</si>
  <si>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</si>
  <si>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</si>
  <si>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</si>
  <si>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</si>
  <si>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</si>
  <si>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</si>
  <si>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</si>
  <si>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</si>
  <si>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</si>
  <si>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</si>
  <si>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</si>
  <si>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</si>
  <si>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</si>
  <si>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</si>
  <si>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</si>
  <si>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</si>
  <si>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</si>
  <si>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</si>
  <si>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</si>
  <si>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</si>
  <si>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</si>
  <si>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</si>
  <si>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</si>
  <si>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</si>
  <si>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</si>
  <si>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</si>
  <si>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</si>
  <si>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</si>
  <si>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</si>
  <si>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</si>
  <si>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</si>
  <si>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</si>
  <si>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</si>
  <si>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</si>
  <si>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</si>
  <si>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</si>
  <si>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</si>
  <si>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</si>
  <si>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</si>
  <si>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</si>
  <si>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</si>
  <si>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</si>
  <si>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</si>
  <si>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</si>
  <si>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</si>
  <si>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</si>
  <si>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</si>
  <si>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</si>
  <si>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</si>
  <si>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</si>
  <si>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</si>
  <si>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</si>
  <si>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</si>
  <si>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</si>
  <si>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</si>
  <si>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</si>
  <si>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</si>
  <si>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</si>
  <si>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</si>
  <si>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</si>
  <si>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</si>
  <si>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</si>
  <si>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</si>
  <si>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</si>
  <si>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</si>
  <si>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</si>
  <si>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</si>
  <si>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</si>
  <si>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</si>
  <si>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</si>
  <si>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</si>
  <si>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</si>
  <si>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</si>
  <si>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</si>
  <si>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</si>
  <si>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</si>
  <si>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</si>
  <si>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</si>
  <si>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</si>
  <si>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</si>
  <si>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</si>
  <si>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</si>
  <si>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</si>
  <si>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</si>
  <si>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</si>
  <si>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</si>
  <si>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</si>
  <si>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</si>
  <si>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</si>
  <si>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</si>
  <si>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</si>
  <si>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</si>
  <si>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</si>
  <si>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</si>
  <si>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</si>
  <si>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</si>
  <si>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</si>
  <si>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</si>
  <si>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</si>
  <si>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</si>
  <si>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</si>
  <si>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</si>
  <si>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</si>
  <si>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</si>
  <si>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</si>
  <si>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</si>
  <si>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</si>
  <si>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</si>
  <si>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</si>
  <si>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</si>
  <si>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</si>
  <si>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</si>
  <si>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</si>
  <si>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</si>
  <si>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</si>
  <si>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</si>
  <si>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</si>
  <si>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</si>
  <si>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</si>
  <si>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</si>
  <si>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</si>
  <si>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</si>
  <si>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</si>
  <si>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</si>
  <si>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</si>
  <si>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</si>
  <si>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</si>
  <si>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</si>
  <si>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</si>
  <si>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</si>
  <si>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</si>
  <si>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</si>
  <si>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</si>
  <si>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</si>
  <si>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</si>
  <si>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</si>
  <si>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</si>
  <si>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</si>
  <si>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</si>
  <si>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</si>
  <si>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</si>
  <si>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</si>
  <si>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</si>
  <si>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</si>
  <si>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</si>
  <si>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</si>
  <si>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</si>
  <si>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</si>
  <si>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</si>
  <si>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</si>
  <si>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</si>
  <si>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</si>
  <si>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</si>
  <si>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</si>
  <si>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</si>
  <si>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</si>
  <si>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</si>
  <si>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</si>
  <si>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</si>
  <si>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</si>
  <si>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</si>
  <si>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</si>
  <si>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</si>
  <si>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</si>
  <si>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</si>
  <si>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</si>
  <si>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</si>
  <si>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</si>
  <si>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</si>
  <si>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</si>
  <si>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</si>
  <si>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</si>
  <si>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</si>
  <si>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</si>
  <si>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</si>
  <si>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</si>
  <si>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</si>
  <si>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</si>
  <si>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</si>
  <si>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</si>
  <si>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</si>
  <si>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</si>
  <si>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</si>
  <si>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</si>
  <si>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</si>
  <si>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</si>
  <si>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</si>
  <si>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</si>
  <si>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</si>
  <si>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</si>
  <si>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</si>
  <si>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</si>
  <si>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</si>
  <si>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</si>
  <si>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</si>
  <si>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</si>
  <si>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</si>
  <si>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</si>
  <si>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</si>
  <si>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</si>
  <si>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</si>
  <si>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</si>
  <si>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</si>
  <si>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</si>
  <si>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</si>
  <si>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</si>
  <si>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</si>
  <si>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</si>
  <si>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</si>
  <si>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</si>
  <si>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</si>
  <si>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</si>
  <si>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</si>
  <si>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</si>
  <si>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</si>
  <si>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</si>
  <si>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</si>
  <si>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</si>
  <si>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</si>
  <si>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</si>
  <si>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</si>
  <si>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</si>
  <si>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</si>
  <si>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</si>
  <si>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</si>
  <si>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</si>
  <si>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</si>
  <si>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</si>
  <si>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</si>
  <si>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</si>
  <si>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</si>
  <si>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</si>
  <si>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</si>
  <si>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</si>
  <si>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</si>
  <si>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</si>
  <si>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</si>
  <si>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</si>
  <si>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</si>
  <si>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</si>
  <si>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</si>
  <si>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</si>
  <si>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</si>
  <si>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</si>
  <si>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</si>
  <si>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</si>
  <si>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</si>
  <si>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</si>
  <si>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</si>
  <si>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</si>
  <si>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</si>
  <si>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</si>
  <si>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</si>
  <si>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</si>
  <si>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</si>
  <si>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</si>
  <si>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</si>
  <si>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</si>
  <si>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</si>
  <si>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</si>
  <si>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</si>
  <si>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</si>
  <si>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</si>
  <si>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</si>
  <si>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</si>
  <si>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</si>
  <si>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</si>
  <si>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</si>
  <si>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</si>
  <si>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</si>
  <si>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</si>
  <si>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</si>
  <si>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</si>
  <si>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</si>
  <si>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</si>
  <si>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</si>
  <si>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</si>
  <si>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</si>
  <si>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</si>
  <si>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</si>
  <si>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</si>
  <si>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</si>
  <si>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</si>
  <si>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</si>
  <si>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</si>
  <si>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</si>
  <si>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</si>
  <si>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</si>
  <si>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</si>
  <si>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</si>
  <si>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</si>
  <si>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</si>
  <si>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</si>
  <si>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</si>
  <si>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</si>
  <si>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</si>
  <si>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</si>
  <si>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</si>
  <si>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</si>
  <si>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</si>
  <si>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</si>
  <si>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</si>
  <si>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</si>
  <si>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</si>
  <si>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</si>
  <si>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</si>
  <si>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</si>
  <si>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</si>
  <si>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</si>
  <si>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</si>
  <si>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</si>
  <si>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</si>
  <si>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</si>
  <si>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</si>
  <si>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</si>
  <si>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</si>
  <si>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</si>
  <si>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</si>
  <si>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</si>
  <si>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</si>
  <si>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</si>
  <si>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</si>
  <si>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</si>
  <si>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</si>
  <si>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</si>
  <si>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</si>
  <si>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</si>
  <si>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</si>
  <si>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</si>
  <si>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</si>
  <si>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</si>
  <si>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</si>
  <si>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</si>
  <si>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</si>
  <si>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</si>
  <si>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</si>
  <si>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</si>
  <si>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</si>
  <si>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</si>
  <si>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</si>
  <si>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</si>
  <si>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</si>
  <si>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</si>
  <si>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</si>
  <si>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</si>
  <si>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</si>
  <si>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</si>
  <si>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</si>
  <si>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</si>
  <si>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</si>
  <si>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</si>
  <si>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</si>
  <si>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</si>
  <si>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</si>
  <si>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</si>
  <si>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</si>
  <si>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</si>
  <si>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</si>
  <si>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</si>
  <si>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</si>
  <si>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</si>
  <si>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</si>
  <si>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</si>
  <si>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</si>
  <si>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</si>
  <si>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</si>
  <si>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</si>
  <si>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</si>
  <si>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</si>
  <si>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</si>
  <si>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</si>
  <si>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</si>
  <si>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</si>
  <si>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</si>
  <si>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</si>
  <si>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</si>
  <si>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</si>
  <si>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</si>
  <si>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</si>
  <si>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</si>
  <si>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</si>
  <si>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</si>
  <si>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</si>
  <si>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</si>
  <si>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</si>
  <si>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</si>
  <si>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</si>
  <si>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</si>
  <si>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</si>
  <si>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</si>
  <si>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</si>
  <si>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</si>
  <si>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</si>
  <si>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</si>
  <si>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</si>
  <si>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</si>
  <si>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</si>
  <si>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</si>
  <si>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</si>
  <si>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</si>
  <si>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</si>
  <si>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</si>
  <si>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</si>
  <si>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</si>
  <si>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</si>
  <si>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</si>
  <si>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</si>
  <si>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</si>
  <si>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</si>
  <si>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</si>
  <si>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</si>
  <si>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</si>
  <si>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</si>
  <si>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</si>
  <si>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</si>
  <si>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</si>
  <si>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</si>
  <si>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</si>
  <si>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</si>
  <si>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</si>
  <si>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</si>
  <si>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</si>
  <si>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</si>
  <si>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</si>
  <si>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</si>
  <si>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</si>
  <si>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</si>
  <si>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</si>
  <si>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</si>
  <si>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</si>
  <si>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</si>
  <si>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</si>
  <si>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</si>
  <si>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</si>
  <si>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</si>
  <si>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</si>
  <si>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</si>
  <si>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</si>
  <si>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</si>
  <si>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</si>
  <si>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</si>
  <si>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</si>
  <si>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</si>
  <si>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</si>
  <si>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</si>
  <si>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</si>
  <si>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</si>
  <si>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</si>
  <si>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</si>
  <si>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</si>
  <si>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</si>
  <si>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</si>
  <si>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</si>
  <si>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</si>
  <si>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</si>
  <si>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</si>
  <si>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</si>
  <si>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</si>
  <si>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</si>
  <si>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</si>
  <si>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</si>
  <si>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</si>
  <si>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</si>
  <si>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</si>
  <si>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</si>
  <si>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</si>
  <si>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</si>
  <si>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</si>
  <si>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</si>
  <si>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</si>
  <si>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</si>
  <si>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</si>
  <si>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</si>
  <si>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</si>
  <si>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</si>
  <si>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</si>
  <si>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</si>
  <si>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</si>
  <si>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</si>
  <si>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</si>
  <si>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</si>
  <si>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</si>
  <si>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</si>
  <si>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</si>
  <si>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</si>
  <si>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</si>
  <si>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</si>
  <si>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</si>
  <si>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</si>
  <si>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</si>
  <si>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</si>
  <si>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</si>
  <si>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</si>
  <si>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</si>
  <si>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</si>
  <si>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</si>
  <si>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</si>
  <si>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</si>
  <si>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</si>
  <si>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</si>
  <si>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</si>
  <si>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</si>
  <si>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</si>
  <si>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</si>
  <si>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</si>
  <si>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</si>
  <si>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</si>
  <si>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</si>
  <si>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</si>
  <si>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</si>
  <si>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</si>
  <si>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</si>
  <si>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</si>
  <si>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</si>
  <si>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</si>
  <si>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</si>
  <si>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</si>
  <si>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</si>
  <si>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</si>
  <si>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</si>
  <si>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</si>
  <si>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</si>
  <si>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</si>
  <si>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</si>
  <si>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</si>
  <si>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</si>
  <si>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</si>
  <si>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</si>
  <si>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</si>
  <si>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</si>
  <si>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</si>
  <si>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</si>
  <si>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</si>
  <si>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</si>
  <si>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</si>
  <si>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</si>
  <si>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</si>
  <si>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</si>
  <si>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</si>
  <si>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</si>
  <si>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</si>
  <si>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</si>
  <si>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</si>
  <si>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</si>
  <si>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</si>
  <si>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</si>
  <si>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</si>
  <si>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</si>
  <si>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</si>
  <si>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</si>
  <si>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</si>
  <si>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</si>
  <si>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</si>
  <si>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</si>
  <si>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</si>
  <si>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</si>
  <si>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</si>
  <si>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</si>
  <si>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</si>
  <si>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</si>
  <si>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</si>
  <si>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</si>
  <si>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</si>
  <si>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</si>
  <si>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</si>
  <si>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</si>
  <si>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</si>
  <si>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</si>
  <si>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</si>
  <si>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</si>
  <si>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</si>
  <si>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</si>
  <si>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</si>
  <si>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</si>
  <si>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</si>
  <si>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</si>
  <si>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</si>
  <si>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</si>
  <si>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</si>
  <si>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</si>
  <si>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</si>
  <si>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</si>
  <si>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</si>
  <si>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</si>
  <si>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</si>
  <si>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</si>
  <si>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</si>
  <si>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</si>
  <si>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</si>
  <si>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</si>
  <si>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</si>
  <si>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</si>
  <si>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</si>
  <si>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</si>
  <si>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</si>
  <si>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</si>
  <si>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</si>
  <si>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</si>
  <si>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</si>
  <si>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</si>
  <si>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</si>
  <si>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</si>
  <si>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</si>
  <si>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</si>
  <si>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</si>
  <si>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</si>
  <si>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</si>
  <si>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</si>
  <si>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</si>
  <si>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</si>
  <si>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</si>
  <si>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</si>
  <si>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</si>
  <si>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</si>
  <si>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</si>
  <si>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</si>
  <si>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</si>
  <si>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</si>
  <si>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</si>
  <si>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</si>
  <si>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</si>
  <si>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</si>
  <si>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</si>
  <si>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</si>
  <si>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</si>
  <si>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</si>
  <si>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</si>
  <si>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</si>
  <si>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</si>
  <si>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</si>
  <si>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</si>
  <si>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</si>
  <si>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</si>
  <si>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</si>
  <si>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</si>
  <si>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</si>
  <si>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</si>
  <si>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</si>
  <si>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</si>
  <si>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</si>
  <si>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</si>
  <si>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</si>
  <si>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</si>
  <si>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</si>
  <si>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</si>
  <si>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</si>
  <si>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</si>
  <si>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</si>
  <si>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</si>
  <si>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</si>
  <si>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</si>
  <si>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</si>
  <si>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</si>
  <si>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</si>
  <si>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</si>
  <si>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</si>
  <si>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</si>
  <si>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</si>
  <si>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</si>
  <si>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</si>
  <si>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</si>
  <si>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</si>
  <si>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</si>
  <si>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</si>
  <si>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</si>
  <si>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</si>
  <si>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</si>
  <si>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</si>
  <si>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</si>
  <si>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</si>
  <si>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</si>
  <si>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</si>
  <si>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</si>
  <si>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</si>
  <si>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</si>
  <si>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</si>
  <si>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</si>
  <si>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</si>
  <si>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</si>
  <si>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</si>
  <si>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</si>
  <si>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</si>
  <si>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</si>
  <si>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</si>
  <si>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</si>
  <si>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</si>
  <si>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</si>
  <si>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</si>
  <si>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</si>
  <si>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</si>
  <si>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</si>
  <si>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</si>
  <si>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</si>
  <si>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</si>
  <si>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</si>
  <si>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</si>
  <si>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</si>
  <si>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</si>
  <si>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</si>
  <si>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</si>
  <si>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</si>
  <si>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</si>
  <si>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</si>
  <si>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</si>
  <si>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</si>
  <si>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</si>
  <si>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</si>
  <si>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</si>
  <si>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</si>
  <si>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</si>
  <si>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</si>
  <si>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</si>
  <si>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</si>
  <si>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</si>
  <si>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</si>
  <si>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</si>
  <si>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</si>
  <si>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</si>
  <si>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</si>
  <si>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</si>
  <si>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</si>
  <si>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</si>
  <si>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</si>
  <si>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</si>
  <si>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</si>
  <si>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</si>
  <si>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</si>
  <si>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</si>
  <si>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</si>
  <si>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</si>
  <si>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</si>
  <si>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</si>
  <si>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</si>
  <si>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</si>
  <si>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</si>
  <si>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</si>
  <si>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</si>
  <si>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</si>
  <si>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</si>
  <si>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</si>
  <si>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</si>
  <si>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</si>
  <si>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</si>
  <si>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</si>
  <si>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</si>
  <si>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</si>
  <si>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</si>
  <si>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</si>
  <si>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</si>
  <si>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</si>
  <si>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</si>
  <si>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</si>
  <si>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</si>
  <si>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</si>
  <si>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</si>
  <si>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</si>
  <si>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</si>
  <si>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</si>
  <si>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</si>
  <si>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</si>
  <si>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</si>
  <si>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</si>
  <si>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</si>
  <si>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</si>
  <si>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</si>
  <si>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</si>
  <si>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</si>
  <si>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</si>
  <si>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</si>
  <si>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</si>
  <si>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</si>
  <si>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</si>
  <si>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</si>
  <si>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</si>
  <si>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</si>
  <si>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</si>
  <si>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</si>
  <si>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</si>
  <si>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</si>
  <si>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</si>
  <si>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</si>
  <si>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</si>
  <si>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</si>
  <si>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</si>
  <si>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</si>
  <si>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</si>
  <si>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</si>
  <si>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</si>
  <si>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</si>
  <si>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</si>
  <si>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</si>
  <si>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</si>
  <si>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</si>
  <si>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</si>
  <si>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</si>
  <si>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</si>
  <si>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</si>
  <si>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</si>
  <si>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</si>
  <si>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</si>
  <si>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</si>
  <si>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</si>
  <si>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</si>
  <si>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</si>
  <si>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</si>
  <si>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</si>
  <si>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</si>
  <si>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</si>
  <si>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</si>
  <si>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</si>
  <si>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</si>
  <si>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</si>
  <si>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</si>
  <si>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</si>
  <si>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</si>
  <si>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</si>
  <si>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</si>
  <si>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</si>
  <si>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</si>
  <si>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</si>
  <si>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</si>
  <si>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</si>
  <si>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</si>
  <si>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</si>
  <si>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</si>
  <si>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</si>
  <si>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</si>
  <si>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</si>
  <si>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</si>
  <si>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</si>
  <si>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</si>
  <si>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</si>
  <si>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</si>
  <si>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</si>
  <si>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</si>
  <si>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</si>
  <si>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</si>
  <si>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</si>
  <si>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</si>
  <si>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</si>
  <si>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</si>
  <si>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</si>
  <si>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</si>
  <si>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</si>
  <si>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</si>
  <si>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</si>
  <si>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</si>
  <si>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</si>
  <si>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</si>
  <si>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</si>
  <si>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</si>
  <si>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</si>
  <si>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</si>
  <si>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</si>
  <si>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</si>
  <si>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</si>
  <si>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</si>
  <si>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</si>
  <si>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</si>
  <si>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</si>
  <si>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</si>
  <si>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</si>
  <si>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</si>
  <si>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</si>
  <si>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</si>
  <si>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</si>
  <si>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</si>
  <si>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</si>
  <si>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</si>
  <si>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</si>
  <si>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</si>
  <si>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</si>
  <si>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</si>
  <si>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</si>
  <si>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</si>
  <si>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</si>
  <si>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</si>
  <si>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</si>
  <si>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</si>
  <si>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</si>
  <si>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</si>
  <si>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</si>
  <si>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</si>
  <si>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</si>
  <si>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</si>
  <si>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</si>
  <si>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</si>
  <si>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</si>
  <si>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</si>
  <si>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</si>
  <si>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</si>
  <si>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</si>
  <si>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</si>
  <si>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</si>
  <si>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</si>
  <si>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</si>
  <si>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</si>
  <si>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</si>
  <si>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</si>
  <si>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</si>
  <si>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</si>
  <si>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</si>
  <si>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</si>
  <si>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</si>
  <si>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</si>
  <si>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</si>
  <si>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</si>
  <si>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</si>
  <si>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</si>
  <si>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</si>
  <si>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</si>
  <si>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</si>
  <si>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</si>
  <si>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</si>
  <si>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</si>
  <si>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</si>
  <si>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</si>
  <si>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</si>
  <si>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</si>
  <si>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</si>
  <si>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</si>
  <si>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</si>
  <si>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</si>
  <si>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</si>
  <si>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</si>
  <si>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</si>
  <si>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</si>
  <si>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</si>
  <si>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</si>
  <si>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</si>
  <si>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</si>
  <si>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</si>
  <si>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</si>
  <si>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</si>
  <si>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</si>
  <si>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</si>
  <si>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</si>
  <si>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</si>
  <si>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</si>
  <si>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</si>
  <si>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</si>
  <si>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</si>
  <si>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</si>
  <si>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</si>
  <si>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</si>
  <si>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</si>
  <si>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</si>
  <si>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</si>
  <si>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</si>
  <si>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</si>
  <si>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</si>
  <si>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</si>
  <si>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</si>
  <si>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</si>
  <si>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</si>
  <si>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</si>
  <si>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</si>
  <si>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</si>
  <si>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</si>
  <si>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</si>
  <si>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</si>
  <si>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</si>
  <si>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</si>
  <si>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</si>
  <si>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</si>
  <si>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</si>
  <si>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</si>
  <si>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</si>
  <si>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</si>
  <si>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</si>
  <si>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</si>
  <si>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</si>
  <si>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</si>
  <si>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</si>
  <si>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</si>
  <si>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</si>
  <si>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</si>
  <si>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</si>
  <si>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</si>
  <si>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</si>
  <si>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</si>
  <si>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</si>
  <si>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</si>
  <si>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</si>
  <si>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</si>
  <si>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</si>
  <si>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</si>
  <si>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</si>
  <si>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</si>
  <si>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</si>
  <si>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</si>
  <si>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</si>
  <si>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</si>
  <si>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</si>
  <si>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</si>
  <si>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</si>
  <si>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</si>
  <si>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</si>
  <si>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</si>
  <si>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</si>
  <si>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</si>
  <si>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</si>
  <si>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</si>
  <si>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</si>
  <si>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</si>
  <si>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</si>
  <si>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</si>
  <si>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</si>
  <si>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</si>
  <si>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</si>
  <si>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</si>
  <si>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</si>
  <si>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</si>
  <si>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</si>
  <si>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</si>
  <si>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</si>
  <si>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</si>
  <si>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</si>
  <si>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</si>
  <si>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</si>
  <si>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</si>
  <si>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</si>
  <si>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</si>
  <si>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</si>
  <si>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</si>
  <si>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</si>
  <si>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</si>
  <si>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</si>
  <si>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</si>
  <si>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</si>
  <si>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</si>
  <si>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</si>
  <si>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</si>
  <si>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</si>
  <si>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</si>
  <si>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</si>
  <si>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</si>
  <si>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</si>
  <si>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</si>
  <si>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</si>
  <si>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</si>
  <si>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</si>
  <si>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</si>
  <si>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</si>
  <si>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</si>
  <si>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</si>
  <si>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</si>
  <si>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</si>
  <si>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</si>
  <si>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</si>
  <si>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</si>
  <si>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</si>
  <si>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</si>
  <si>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</si>
  <si>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</si>
  <si>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</si>
  <si>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</si>
  <si>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</si>
  <si>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</si>
  <si>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</si>
  <si>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</si>
  <si>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</si>
  <si>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</si>
  <si>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</si>
  <si>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</si>
  <si>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</si>
  <si>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</si>
  <si>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</si>
  <si>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</si>
  <si>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</si>
  <si>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</si>
  <si>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</si>
  <si>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</si>
  <si>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</si>
  <si>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</si>
  <si>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</si>
  <si>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</si>
  <si>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</si>
  <si>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</si>
  <si>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</si>
  <si>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</si>
  <si>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</si>
  <si>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</si>
  <si>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</si>
  <si>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</si>
  <si>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</si>
  <si>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</si>
  <si>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</si>
  <si>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</si>
  <si>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</si>
  <si>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</si>
  <si>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</si>
  <si>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</si>
  <si>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</si>
  <si>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</si>
  <si>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</si>
  <si>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</si>
  <si>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</si>
  <si>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</si>
  <si>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</si>
  <si>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</si>
  <si>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</si>
  <si>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</si>
  <si>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</si>
  <si>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</si>
  <si>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</si>
  <si>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</si>
  <si>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</si>
  <si>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</si>
  <si>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</si>
  <si>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</si>
  <si>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</si>
  <si>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</si>
  <si>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</si>
  <si>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</si>
  <si>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</si>
  <si>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</si>
  <si>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</si>
  <si>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</si>
  <si>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</si>
  <si>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</si>
  <si>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</si>
  <si>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</si>
  <si>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</si>
  <si>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</si>
  <si>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</si>
  <si>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</si>
  <si>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</si>
  <si>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</si>
  <si>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</si>
  <si>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</si>
  <si>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</si>
  <si>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</si>
  <si>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</si>
  <si>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</si>
  <si>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</si>
  <si>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</si>
  <si>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</si>
  <si>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</si>
  <si>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</si>
  <si>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</si>
  <si>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</si>
  <si>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</si>
  <si>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</si>
  <si>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</si>
  <si>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</si>
  <si>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</si>
  <si>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</si>
  <si>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</si>
  <si>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</si>
  <si>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</si>
  <si>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</si>
  <si>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</si>
  <si>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</si>
  <si>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</si>
  <si>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</si>
  <si>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</si>
  <si>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</si>
  <si>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</si>
  <si>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</si>
  <si>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</si>
  <si>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</si>
  <si>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</si>
  <si>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</si>
  <si>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</si>
  <si>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</si>
  <si>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</si>
  <si>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</si>
  <si>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</si>
  <si>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</si>
  <si>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</si>
  <si>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</si>
  <si>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</si>
  <si>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</si>
  <si>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</si>
  <si>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</si>
  <si>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</si>
  <si>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</si>
  <si>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</si>
  <si>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</si>
  <si>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</si>
  <si>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</si>
  <si>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</si>
  <si>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</si>
  <si>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</si>
  <si>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</si>
  <si>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</si>
  <si>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</si>
  <si>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</si>
  <si>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</si>
  <si>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</si>
  <si>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</si>
  <si>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</si>
  <si>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</si>
  <si>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</si>
  <si>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</si>
  <si>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</si>
  <si>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</si>
  <si>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</si>
  <si>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</si>
  <si>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</si>
  <si>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</si>
  <si>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</si>
  <si>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</si>
  <si>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</si>
  <si>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</si>
  <si>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</si>
  <si>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</si>
  <si>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</si>
  <si>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</si>
  <si>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</si>
  <si>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</si>
  <si>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</si>
  <si>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</si>
  <si>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</si>
  <si>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</si>
  <si>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</si>
  <si>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</si>
  <si>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</si>
  <si>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</si>
  <si>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</si>
  <si>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</si>
  <si>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</si>
  <si>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</si>
  <si>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</si>
  <si>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</si>
  <si>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</si>
  <si>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</si>
  <si>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</si>
  <si>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</si>
  <si>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</si>
  <si>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</si>
  <si>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</si>
  <si>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</si>
  <si>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</si>
  <si>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</si>
  <si>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</si>
  <si>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</si>
  <si>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</si>
  <si>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</si>
  <si>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</si>
  <si>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</si>
  <si>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</si>
  <si>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</si>
  <si>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</si>
  <si>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</si>
  <si>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</si>
  <si>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</si>
  <si>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</si>
  <si>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</si>
  <si>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</si>
  <si>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</si>
  <si>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</si>
  <si>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</si>
  <si>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</si>
  <si>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</si>
  <si>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</si>
  <si>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</si>
  <si>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</si>
  <si>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</si>
  <si>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</si>
  <si>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</si>
  <si>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</si>
  <si>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</si>
  <si>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</si>
  <si>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</si>
  <si>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</si>
  <si>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</si>
  <si>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</si>
  <si>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</si>
  <si>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</si>
  <si>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</si>
  <si>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</si>
  <si>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</si>
  <si>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</si>
  <si>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</si>
  <si>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</si>
  <si>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</si>
  <si>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</si>
  <si>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</si>
  <si>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</si>
  <si>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</si>
  <si>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</si>
  <si>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</si>
  <si>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</si>
  <si>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</si>
  <si>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</si>
  <si>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</si>
  <si>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</si>
  <si>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</si>
  <si>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</si>
  <si>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</si>
  <si>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</si>
  <si>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</si>
  <si>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</si>
  <si>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</si>
  <si>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</si>
  <si>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</si>
  <si>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</si>
  <si>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</si>
  <si>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</si>
  <si>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</si>
  <si>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</si>
  <si>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</si>
  <si>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</si>
  <si>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</si>
  <si>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</si>
  <si>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</si>
  <si>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</si>
  <si>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</si>
  <si>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</si>
  <si>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</si>
  <si>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</si>
  <si>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</si>
  <si>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</si>
  <si>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</si>
  <si>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</si>
  <si>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</si>
  <si>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</si>
  <si>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</si>
  <si>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</si>
  <si>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</si>
  <si>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</si>
  <si>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</si>
  <si>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</si>
  <si>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</si>
  <si>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</si>
  <si>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</si>
  <si>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</si>
  <si>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</si>
  <si>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</si>
  <si>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</si>
  <si>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</si>
  <si>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</si>
  <si>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</si>
  <si>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</si>
  <si>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</si>
  <si>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</si>
  <si>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</si>
  <si>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</si>
  <si>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</si>
  <si>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</si>
  <si>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</si>
  <si>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</si>
  <si>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</si>
  <si>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</si>
  <si>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</si>
  <si>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</si>
  <si>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</si>
  <si>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</si>
  <si>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</si>
  <si>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</si>
  <si>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</si>
  <si>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</si>
  <si>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</si>
  <si>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</si>
  <si>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</si>
  <si>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</si>
  <si>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</si>
  <si>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</si>
  <si>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</si>
  <si>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</si>
  <si>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</si>
  <si>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</si>
  <si>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</si>
  <si>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</si>
  <si>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</si>
  <si>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</si>
  <si>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</si>
  <si>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</si>
  <si>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</si>
  <si>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</si>
  <si>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</si>
  <si>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</si>
  <si>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</si>
  <si>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</si>
  <si>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</si>
  <si>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</si>
  <si>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</si>
  <si>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</si>
  <si>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</si>
  <si>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</si>
  <si>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</si>
  <si>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</si>
  <si>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</si>
  <si>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</si>
  <si>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</si>
  <si>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</si>
  <si>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</si>
  <si>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</si>
  <si>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</si>
  <si>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</si>
  <si>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</si>
  <si>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</si>
  <si>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</si>
  <si>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</si>
  <si>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</si>
  <si>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</si>
  <si>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</si>
  <si>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</si>
  <si>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</si>
  <si>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</si>
  <si>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</si>
  <si>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</si>
  <si>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</si>
  <si>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</si>
  <si>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</si>
  <si>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</si>
  <si>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</si>
  <si>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</si>
  <si>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</si>
  <si>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</si>
  <si>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</si>
  <si>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</si>
  <si>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</si>
  <si>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</si>
  <si>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</si>
  <si>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</si>
  <si>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</si>
  <si>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</si>
  <si>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</si>
  <si>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</si>
  <si>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</si>
  <si>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</si>
  <si>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</si>
  <si>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</si>
  <si>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</si>
  <si>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</si>
  <si>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</si>
  <si>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</si>
  <si>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</si>
  <si>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</si>
  <si>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</si>
  <si>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</si>
  <si>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</si>
  <si>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</si>
  <si>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</si>
  <si>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</si>
  <si>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</si>
  <si>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</si>
  <si>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</si>
  <si>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</si>
  <si>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</si>
  <si>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</si>
  <si>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</si>
  <si>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</si>
  <si>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</si>
  <si>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</si>
  <si>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</si>
  <si>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</si>
  <si>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</si>
  <si>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</si>
  <si>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</si>
  <si>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</si>
  <si>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</si>
  <si>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</si>
  <si>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</si>
  <si>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</si>
  <si>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</si>
  <si>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</si>
  <si>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</si>
  <si>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</si>
  <si>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</si>
  <si>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</si>
  <si>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</si>
  <si>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</si>
  <si>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</si>
  <si>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</si>
  <si>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</si>
  <si>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</si>
  <si>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</si>
  <si>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</si>
  <si>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</si>
  <si>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</si>
  <si>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</si>
  <si>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</si>
  <si>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</si>
  <si>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</si>
  <si>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</si>
  <si>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</si>
  <si>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</si>
  <si>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</si>
  <si>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</si>
  <si>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</si>
  <si>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</si>
  <si>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</si>
  <si>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</si>
  <si>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</si>
  <si>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</si>
  <si>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</si>
  <si>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</si>
  <si>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</si>
  <si>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</si>
  <si>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</si>
  <si>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</si>
  <si>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</si>
  <si>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</si>
  <si>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</si>
  <si>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</si>
  <si>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</si>
  <si>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</si>
  <si>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</si>
  <si>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</si>
  <si>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</si>
  <si>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</si>
  <si>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</si>
  <si>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</si>
  <si>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</si>
  <si>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</si>
  <si>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</si>
  <si>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</si>
  <si>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</si>
  <si>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</si>
  <si>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</si>
  <si>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</si>
  <si>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</si>
  <si>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</si>
  <si>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</si>
  <si>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</si>
  <si>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</si>
  <si>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</si>
  <si>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</si>
  <si>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</si>
  <si>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</si>
  <si>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</si>
  <si>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</si>
  <si>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</si>
  <si>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</si>
  <si>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</si>
  <si>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</si>
  <si>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</si>
  <si>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</si>
  <si>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</si>
  <si>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</si>
  <si>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</si>
  <si>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</si>
  <si>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</si>
  <si>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</si>
  <si>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</si>
  <si>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</si>
  <si>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</si>
  <si>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</si>
  <si>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</si>
  <si>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</si>
  <si>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</si>
  <si>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</si>
  <si>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</si>
  <si>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</si>
  <si>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</si>
  <si>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</si>
  <si>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</si>
  <si>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</si>
  <si>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</si>
  <si>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</si>
  <si>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</si>
  <si>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</si>
  <si>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</si>
  <si>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</si>
  <si>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</si>
  <si>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</si>
  <si>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</si>
  <si>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</si>
  <si>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</si>
  <si>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</si>
  <si>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</si>
  <si>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</si>
  <si>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</si>
  <si>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</si>
  <si>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</si>
  <si>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</si>
  <si>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</si>
  <si>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</si>
  <si>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</si>
  <si>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</si>
  <si>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</si>
  <si>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</si>
  <si>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</si>
  <si>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</si>
  <si>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</si>
  <si>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</si>
  <si>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</si>
  <si>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</si>
  <si>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</si>
  <si>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</si>
  <si>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</si>
  <si>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</si>
  <si>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</si>
  <si>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</si>
  <si>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</si>
  <si>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</si>
  <si>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</si>
  <si>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</si>
  <si>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</si>
  <si>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</si>
  <si>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</si>
  <si>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</si>
  <si>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</si>
  <si>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</si>
  <si>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</si>
  <si>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</si>
  <si>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</si>
  <si>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</si>
  <si>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</si>
  <si>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</si>
  <si>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</si>
  <si>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</si>
  <si>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</si>
  <si>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</si>
  <si>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</si>
  <si>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</si>
  <si>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</si>
  <si>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</si>
  <si>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</si>
  <si>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</si>
  <si>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</si>
  <si>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</si>
  <si>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</si>
  <si>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</si>
  <si>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</si>
  <si>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</si>
  <si>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</si>
  <si>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</si>
  <si>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</si>
  <si>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</si>
  <si>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</si>
  <si>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</si>
  <si>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</si>
  <si>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</si>
  <si>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</si>
  <si>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</si>
  <si>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</si>
  <si>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</si>
  <si>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</si>
  <si>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</si>
  <si>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</si>
  <si>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</si>
  <si>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</si>
  <si>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</si>
  <si>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</si>
  <si>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</si>
  <si>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</si>
  <si>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</si>
  <si>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</si>
  <si>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</si>
  <si>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</si>
  <si>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</si>
  <si>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</si>
  <si>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</si>
  <si>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</si>
  <si>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</si>
  <si>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</si>
  <si>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</si>
  <si>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</si>
  <si>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</si>
  <si>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</si>
  <si>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</si>
  <si>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</si>
  <si>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</si>
  <si>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</si>
  <si>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</si>
  <si>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</si>
  <si>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</si>
  <si>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</si>
  <si>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</si>
  <si>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</si>
  <si>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</si>
  <si>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</si>
  <si>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</si>
  <si>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</si>
  <si>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</si>
  <si>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</si>
  <si>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</si>
  <si>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</si>
  <si>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</si>
  <si>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</si>
  <si>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</si>
  <si>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</si>
  <si>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</si>
  <si>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</si>
  <si>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</si>
  <si>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</si>
  <si>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</si>
  <si>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</si>
  <si>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</si>
  <si>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</si>
  <si>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</si>
  <si>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</si>
  <si>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</si>
  <si>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</si>
  <si>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</si>
  <si>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</si>
  <si>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</si>
  <si>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</si>
  <si>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</si>
  <si>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</si>
  <si>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</si>
  <si>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</si>
  <si>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</si>
  <si>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</si>
  <si>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</si>
  <si>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</si>
  <si>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</si>
  <si>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</si>
  <si>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</si>
  <si>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</si>
  <si>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</si>
  <si>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</si>
  <si>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</si>
  <si>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</si>
  <si>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</si>
  <si>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</si>
  <si>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</si>
  <si>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</si>
  <si>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</si>
  <si>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</si>
  <si>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</si>
  <si>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</si>
  <si>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</si>
  <si>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</si>
  <si>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</si>
  <si>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</si>
  <si>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</si>
  <si>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</si>
  <si>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</si>
  <si>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</si>
  <si>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</si>
  <si>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</si>
  <si>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</si>
  <si>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</si>
  <si>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</si>
  <si>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</si>
  <si>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</si>
  <si>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</si>
  <si>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</si>
  <si>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</si>
  <si>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</si>
  <si>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</si>
  <si>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</si>
  <si>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</si>
  <si>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</si>
  <si>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</si>
  <si>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</si>
  <si>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</si>
  <si>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</si>
  <si>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</si>
  <si>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</si>
  <si>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</si>
  <si>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</si>
  <si>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</si>
  <si>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</si>
  <si>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</si>
  <si>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</si>
  <si>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</si>
  <si>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</si>
  <si>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</si>
  <si>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</si>
  <si>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</si>
  <si>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</si>
  <si>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</si>
  <si>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</si>
  <si>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</si>
  <si>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</si>
  <si>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</si>
  <si>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</si>
  <si>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</si>
  <si>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</si>
  <si>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</si>
  <si>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</si>
  <si>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</si>
  <si>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</si>
  <si>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</si>
  <si>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</si>
  <si>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</si>
  <si>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</si>
  <si>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</si>
  <si>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</si>
  <si>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</si>
  <si>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</si>
  <si>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</si>
  <si>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</si>
  <si>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</si>
  <si>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</si>
  <si>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</si>
  <si>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</si>
  <si>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</si>
  <si>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</si>
  <si>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</si>
  <si>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</si>
  <si>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</si>
  <si>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</si>
  <si>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</si>
  <si>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</si>
  <si>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</si>
  <si>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</si>
  <si>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</si>
  <si>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</si>
  <si>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</si>
  <si>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</si>
  <si>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</si>
  <si>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</si>
  <si>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</si>
  <si>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</si>
  <si>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</si>
  <si>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</si>
  <si>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</si>
  <si>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</si>
  <si>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</si>
  <si>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</si>
  <si>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</si>
  <si>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</si>
  <si>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</si>
  <si>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</si>
  <si>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</si>
  <si>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</si>
  <si>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</si>
  <si>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</si>
  <si>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</si>
  <si>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</si>
  <si>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</si>
  <si>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</si>
  <si>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</si>
  <si>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</si>
  <si>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</si>
  <si>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</si>
  <si>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</si>
  <si>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</si>
  <si>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</si>
  <si>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</si>
  <si>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</si>
  <si>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</si>
  <si>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</si>
  <si>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</si>
  <si>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</si>
  <si>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</si>
  <si>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</si>
  <si>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</si>
  <si>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</si>
  <si>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</si>
  <si>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</si>
  <si>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</si>
  <si>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</si>
  <si>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</si>
  <si>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</si>
  <si>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</si>
  <si>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</si>
  <si>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</si>
  <si>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</si>
  <si>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</si>
  <si>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</si>
  <si>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</si>
  <si>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</si>
  <si>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</si>
  <si>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</si>
  <si>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</si>
  <si>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</si>
  <si>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</si>
  <si>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</si>
  <si>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</si>
  <si>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</si>
  <si>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</si>
  <si>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</si>
  <si>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</si>
  <si>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</si>
  <si>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</si>
  <si>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</si>
  <si>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</si>
  <si>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</si>
  <si>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</si>
  <si>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</si>
  <si>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</si>
  <si>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</si>
  <si>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</si>
  <si>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</si>
  <si>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</si>
  <si>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</si>
  <si>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</si>
  <si>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</si>
  <si>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</si>
  <si>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</si>
  <si>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</si>
  <si>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</si>
  <si>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</si>
  <si>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</si>
  <si>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</si>
  <si>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</si>
  <si>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</si>
  <si>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</si>
  <si>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</si>
  <si>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</si>
  <si>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</si>
  <si>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</si>
  <si>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</si>
  <si>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</si>
  <si>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</si>
  <si>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</si>
  <si>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</si>
  <si>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</si>
  <si>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</si>
  <si>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</si>
  <si>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</si>
  <si>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</si>
  <si>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</si>
  <si>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</si>
  <si>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</si>
  <si>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</si>
  <si>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</si>
  <si>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</si>
  <si>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</si>
  <si>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</si>
  <si>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</si>
  <si>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</si>
  <si>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</si>
  <si>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</si>
  <si>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</si>
  <si>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</si>
  <si>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</si>
  <si>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</si>
  <si>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</si>
  <si>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</si>
  <si>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</si>
  <si>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</si>
  <si>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</si>
  <si>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</si>
  <si>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</si>
  <si>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</si>
  <si>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</si>
  <si>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</si>
  <si>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</si>
  <si>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</si>
  <si>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</si>
  <si>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</si>
  <si>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</si>
  <si>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</si>
  <si>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</si>
  <si>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</si>
  <si>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</si>
  <si>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</si>
  <si>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</si>
  <si>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</si>
  <si>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</si>
  <si>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</si>
  <si>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</si>
  <si>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</si>
  <si>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</si>
  <si>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</si>
  <si>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</si>
  <si>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</si>
  <si>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</si>
  <si>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</si>
  <si>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</si>
  <si>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</si>
  <si>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</si>
  <si>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</si>
  <si>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</si>
  <si>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</si>
  <si>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</si>
  <si>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</si>
  <si>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</si>
  <si>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</si>
  <si>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</si>
  <si>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</si>
  <si>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</si>
  <si>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</si>
  <si>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</si>
  <si>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</si>
  <si>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</si>
  <si>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</si>
  <si>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</si>
  <si>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</si>
  <si>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</si>
  <si>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</si>
  <si>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</si>
  <si>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</si>
  <si>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</si>
  <si>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</si>
  <si>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</si>
  <si>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</si>
  <si>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</si>
  <si>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</si>
  <si>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</si>
  <si>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</si>
  <si>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</si>
  <si>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</si>
  <si>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</si>
  <si>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</si>
  <si>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</si>
  <si>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</si>
  <si>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</si>
  <si>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</si>
  <si>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</si>
  <si>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</si>
  <si>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</si>
  <si>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</si>
  <si>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</si>
  <si>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</si>
  <si>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</si>
  <si>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</si>
  <si>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</si>
  <si>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</si>
  <si>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</si>
  <si>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</si>
  <si>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</si>
  <si>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</si>
  <si>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</si>
  <si>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</si>
  <si>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</si>
  <si>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</si>
  <si>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</si>
  <si>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</si>
  <si>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</si>
  <si>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</si>
  <si>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</si>
  <si>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</si>
  <si>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</si>
  <si>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</si>
  <si>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</si>
  <si>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</si>
  <si>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</si>
  <si>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</si>
  <si>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</si>
  <si>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</si>
  <si>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</si>
  <si>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</si>
  <si>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</si>
  <si>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</si>
  <si>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</si>
  <si>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</si>
  <si>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</si>
  <si>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</si>
  <si>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</si>
  <si>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</si>
  <si>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</si>
  <si>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</si>
  <si>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</si>
  <si>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</si>
  <si>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</si>
  <si>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</si>
  <si>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</si>
  <si>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</si>
  <si>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</si>
  <si>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</si>
  <si>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</si>
  <si>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</si>
  <si>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</si>
  <si>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</si>
  <si>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</si>
  <si>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</si>
  <si>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</si>
  <si>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</si>
  <si>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</si>
  <si>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</si>
  <si>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</si>
  <si>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</si>
  <si>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</si>
  <si>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</si>
  <si>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</si>
  <si>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</si>
  <si>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</si>
  <si>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</si>
  <si>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</si>
  <si>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</si>
  <si>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</si>
  <si>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</si>
  <si>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</si>
  <si>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</si>
  <si>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</si>
  <si>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</si>
  <si>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</si>
  <si>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</si>
  <si>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</si>
  <si>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</si>
  <si>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</si>
  <si>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</si>
  <si>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</si>
  <si>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</si>
  <si>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</si>
  <si>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</si>
  <si>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</si>
  <si>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</si>
  <si>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</si>
  <si>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</si>
  <si>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</si>
  <si>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</si>
  <si>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</si>
  <si>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</si>
  <si>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</si>
  <si>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</si>
  <si>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</si>
  <si>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</si>
  <si>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</si>
  <si>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</si>
  <si>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</si>
  <si>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</si>
  <si>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</si>
  <si>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</si>
  <si>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</si>
  <si>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</si>
  <si>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</si>
  <si>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</si>
  <si>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</si>
  <si>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</si>
  <si>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</si>
  <si>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</si>
  <si>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</si>
  <si>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</si>
  <si>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</si>
  <si>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</si>
  <si>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</si>
  <si>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</si>
  <si>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</si>
  <si>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</si>
  <si>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</si>
  <si>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</si>
  <si>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</si>
  <si>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</si>
  <si>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</si>
  <si>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</si>
  <si>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</si>
  <si>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</si>
  <si>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</si>
  <si>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</si>
  <si>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</si>
  <si>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</si>
  <si>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</si>
  <si>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</si>
  <si>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</si>
  <si>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</si>
  <si>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</si>
  <si>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</si>
  <si>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</si>
  <si>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</si>
  <si>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</si>
  <si>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</si>
  <si>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</si>
  <si>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</si>
  <si>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</si>
  <si>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</si>
  <si>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</si>
  <si>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</si>
  <si>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</si>
  <si>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</si>
  <si>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</si>
  <si>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</si>
  <si>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</si>
  <si>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</si>
  <si>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</si>
  <si>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</si>
  <si>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</si>
  <si>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</si>
  <si>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</si>
  <si>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</si>
  <si>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</si>
  <si>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</si>
  <si>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</si>
  <si>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</si>
  <si>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</si>
  <si>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</si>
  <si>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</si>
  <si>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</si>
  <si>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</si>
  <si>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</si>
  <si>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</si>
  <si>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</si>
  <si>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</si>
  <si>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</si>
  <si>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</si>
  <si>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</si>
  <si>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</si>
  <si>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</si>
  <si>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</si>
  <si>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</si>
  <si>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</si>
  <si>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</si>
  <si>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</si>
  <si>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</si>
  <si>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</si>
  <si>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</si>
  <si>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</si>
  <si>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</si>
  <si>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</si>
  <si>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</si>
  <si>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</si>
  <si>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</si>
  <si>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</si>
  <si>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</si>
  <si>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</si>
  <si>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</si>
  <si>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</si>
  <si>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</si>
  <si>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</si>
  <si>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</si>
  <si>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</si>
  <si>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</si>
  <si>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</si>
  <si>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</si>
  <si>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</si>
  <si>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</si>
  <si>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</si>
  <si>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</si>
  <si>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</si>
  <si>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</si>
  <si>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</si>
  <si>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</si>
  <si>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</si>
  <si>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</si>
  <si>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</si>
  <si>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</si>
  <si>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</si>
  <si>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</si>
  <si>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</si>
  <si>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</si>
  <si>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</si>
  <si>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</si>
  <si>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</si>
  <si>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</si>
  <si>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</si>
  <si>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</si>
  <si>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</si>
  <si>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</si>
  <si>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</si>
  <si>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</si>
  <si>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</si>
  <si>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</si>
  <si>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</si>
  <si>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</si>
  <si>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</si>
  <si>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</si>
  <si>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</si>
  <si>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</si>
  <si>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</si>
  <si>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</si>
  <si>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</si>
  <si>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</si>
  <si>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</si>
  <si>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</si>
  <si>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</si>
  <si>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</si>
  <si>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</si>
  <si>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</si>
  <si>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</si>
  <si>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</si>
  <si>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</si>
  <si>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</si>
  <si>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</si>
  <si>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</si>
  <si>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</si>
  <si>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</si>
  <si>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</si>
  <si>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</si>
  <si>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</si>
  <si>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</si>
  <si>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</si>
  <si>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</si>
  <si>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</si>
  <si>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</si>
  <si>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</si>
  <si>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</si>
  <si>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</si>
  <si>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</si>
  <si>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</si>
  <si>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</si>
  <si>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</si>
  <si>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</si>
  <si>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</si>
  <si>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</si>
  <si>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</si>
  <si>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</si>
  <si>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</si>
  <si>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</si>
  <si>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</si>
  <si>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</si>
  <si>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</si>
  <si>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</si>
  <si>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</si>
  <si>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</si>
  <si>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</si>
  <si>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</si>
  <si>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</si>
  <si>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</si>
  <si>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</si>
  <si>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</si>
  <si>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</si>
  <si>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</si>
  <si>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</si>
  <si>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</si>
  <si>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</si>
  <si>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</si>
  <si>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</si>
  <si>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</si>
  <si>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</si>
  <si>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</si>
  <si>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</si>
  <si>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</si>
  <si>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</si>
  <si>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</si>
  <si>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</si>
  <si>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</si>
  <si>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</si>
  <si>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</si>
  <si>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</si>
  <si>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</si>
  <si>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</si>
  <si>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</si>
  <si>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</si>
  <si>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</si>
  <si>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</si>
  <si>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</si>
  <si>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</si>
  <si>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</si>
  <si>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</si>
  <si>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</si>
  <si>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</si>
  <si>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</si>
  <si>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</si>
  <si>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</si>
  <si>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</si>
  <si>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</si>
  <si>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</si>
  <si>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</si>
  <si>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</si>
  <si>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</si>
  <si>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</si>
  <si>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</si>
  <si>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</si>
  <si>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</si>
  <si>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</si>
  <si>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</si>
  <si>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</si>
  <si>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</si>
  <si>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</si>
  <si>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</si>
  <si>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</si>
  <si>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</si>
  <si>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</si>
  <si>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</si>
  <si>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</si>
  <si>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</si>
  <si>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</si>
  <si>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</si>
  <si>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</si>
  <si>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</si>
  <si>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</si>
  <si>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</si>
  <si>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</si>
  <si>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</si>
  <si>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</si>
  <si>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</si>
  <si>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</si>
  <si>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</si>
  <si>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</si>
  <si>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</si>
  <si>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</si>
  <si>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</si>
  <si>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</si>
  <si>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</si>
  <si>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</si>
  <si>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</si>
  <si>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</si>
  <si>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</si>
  <si>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</si>
  <si>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</si>
  <si>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</si>
  <si>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</si>
  <si>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</si>
  <si>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</si>
  <si>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</si>
  <si>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</si>
  <si>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</si>
  <si>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</si>
  <si>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</si>
  <si>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</si>
  <si>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</si>
  <si>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</si>
  <si>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</si>
  <si>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</si>
  <si>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</si>
  <si>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</si>
  <si>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</si>
  <si>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</si>
  <si>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</si>
  <si>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</si>
  <si>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</si>
  <si>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</si>
  <si>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</si>
  <si>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</si>
  <si>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</si>
  <si>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</si>
  <si>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</si>
  <si>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</si>
  <si>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</si>
  <si>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</si>
  <si>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</si>
  <si>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</si>
  <si>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</si>
  <si>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</si>
  <si>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</si>
  <si>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</si>
  <si>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</si>
  <si>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</si>
  <si>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</si>
  <si>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</si>
  <si>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</si>
  <si>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</si>
  <si>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</si>
  <si>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</si>
  <si>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</si>
  <si>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</si>
  <si>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</si>
  <si>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</si>
  <si>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</si>
  <si>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</si>
  <si>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</si>
  <si>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</si>
  <si>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</si>
  <si>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</si>
  <si>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</si>
  <si>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</si>
  <si>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</si>
  <si>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</si>
  <si>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</si>
  <si>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</si>
  <si>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</si>
  <si>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</si>
  <si>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</si>
  <si>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</si>
  <si>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</si>
  <si>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</si>
  <si>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</si>
  <si>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</si>
  <si>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</si>
  <si>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</si>
  <si>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</si>
  <si>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</si>
  <si>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</si>
  <si>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</si>
  <si>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</si>
  <si>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</si>
  <si>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</si>
  <si>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</si>
  <si>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</si>
  <si>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</si>
  <si>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</si>
  <si>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</si>
  <si>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</si>
  <si>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</si>
  <si>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</si>
  <si>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</si>
  <si>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</si>
  <si>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</si>
  <si>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</si>
  <si>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</si>
  <si>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</si>
  <si>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</si>
  <si>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</si>
  <si>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</si>
  <si>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</si>
  <si>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</si>
  <si>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</si>
  <si>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</si>
  <si>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</si>
  <si>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</si>
  <si>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</si>
  <si>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</si>
  <si>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</si>
  <si>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</si>
  <si>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</si>
  <si>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</si>
  <si>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</si>
  <si>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</si>
  <si>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</si>
  <si>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</si>
  <si>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</si>
  <si>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</si>
  <si>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</si>
  <si>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</si>
  <si>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</si>
  <si>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</si>
  <si>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</si>
  <si>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</si>
  <si>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</si>
  <si>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</si>
  <si>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</si>
  <si>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</si>
  <si>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</si>
  <si>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</si>
  <si>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</si>
  <si>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</si>
  <si>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</si>
  <si>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</si>
  <si>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</si>
  <si>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</si>
  <si>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</si>
  <si>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</si>
  <si>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</si>
  <si>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</si>
  <si>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</si>
  <si>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</si>
  <si>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</si>
  <si>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</si>
  <si>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</si>
  <si>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</si>
  <si>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</si>
  <si>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</si>
  <si>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</si>
  <si>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</si>
  <si>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</si>
  <si>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</si>
  <si>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</si>
  <si>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</si>
  <si>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</si>
  <si>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</si>
  <si>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</si>
  <si>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</si>
  <si>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</si>
  <si>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</si>
  <si>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</si>
  <si>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</si>
  <si>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</si>
  <si>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</si>
  <si>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</si>
  <si>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</si>
  <si>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</si>
  <si>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</si>
  <si>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</si>
  <si>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</si>
  <si>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</si>
  <si>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</si>
  <si>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</si>
  <si>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</si>
  <si>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</si>
  <si>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</si>
  <si>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</si>
  <si>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</si>
  <si>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</si>
  <si>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</si>
  <si>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</si>
  <si>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</si>
  <si>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</si>
  <si>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</si>
  <si>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</si>
  <si>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</si>
  <si>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</si>
  <si>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</si>
  <si>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</si>
  <si>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</si>
  <si>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</si>
  <si>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</si>
  <si>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</si>
  <si>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</si>
  <si>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</si>
  <si>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</si>
  <si>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</si>
  <si>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</si>
  <si>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</si>
  <si>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</si>
  <si>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</si>
  <si>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</si>
  <si>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</si>
  <si>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</si>
  <si>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</si>
  <si>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</si>
  <si>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</si>
  <si>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</si>
  <si>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</si>
  <si>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</si>
  <si>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</si>
  <si>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</si>
  <si>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</si>
  <si>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</si>
  <si>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</si>
  <si>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</si>
  <si>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</si>
  <si>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</si>
  <si>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</si>
  <si>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</si>
  <si>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</si>
  <si>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</si>
  <si>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</si>
  <si>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</si>
  <si>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</si>
  <si>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</si>
  <si>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</si>
  <si>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</si>
  <si>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</si>
  <si>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</si>
  <si>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</si>
  <si>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</si>
  <si>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</si>
  <si>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</si>
  <si>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</si>
  <si>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</si>
  <si>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</si>
  <si>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</si>
  <si>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</si>
  <si>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</si>
  <si>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</si>
  <si>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</si>
  <si>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</si>
  <si>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</si>
  <si>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</si>
  <si>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</si>
  <si>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</si>
  <si>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</si>
  <si>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</si>
  <si>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</si>
  <si>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</si>
  <si>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</si>
  <si>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</si>
  <si>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</si>
  <si>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</si>
  <si>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</si>
  <si>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</si>
  <si>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</si>
  <si>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</si>
  <si>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</si>
  <si>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</si>
  <si>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</si>
  <si>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</si>
  <si>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</si>
  <si>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</si>
  <si>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</si>
  <si>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</si>
  <si>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</si>
  <si>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</si>
  <si>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</si>
  <si>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</si>
  <si>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</si>
  <si>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</si>
  <si>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</si>
  <si>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</si>
  <si>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</si>
  <si>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</si>
  <si>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</si>
  <si>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</si>
  <si>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</si>
  <si>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</si>
  <si>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</si>
  <si>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</si>
  <si>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</si>
  <si>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</si>
  <si>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</si>
  <si>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</si>
  <si>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</si>
  <si>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</si>
  <si>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</si>
  <si>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</si>
  <si>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</si>
  <si>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</si>
  <si>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</si>
  <si>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</si>
  <si>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</si>
  <si>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</si>
  <si>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</si>
  <si>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</si>
  <si>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</si>
  <si>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</si>
  <si>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</si>
  <si>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</si>
  <si>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</si>
  <si>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</si>
  <si>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</si>
  <si>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</si>
  <si>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</si>
  <si>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</si>
  <si>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</si>
  <si>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</si>
  <si>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</si>
  <si>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</si>
  <si>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</si>
  <si>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</si>
  <si>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</si>
  <si>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</si>
  <si>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</si>
  <si>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</si>
  <si>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</si>
  <si>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</si>
  <si>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</si>
  <si>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</si>
  <si>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</si>
  <si>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</si>
  <si>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</si>
  <si>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</si>
  <si>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</si>
  <si>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</si>
  <si>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</si>
  <si>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</si>
  <si>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</si>
  <si>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</si>
  <si>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</si>
  <si>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</si>
  <si>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</si>
  <si>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</si>
  <si>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</si>
  <si>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</si>
  <si>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</si>
  <si>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</si>
  <si>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</si>
  <si>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</si>
  <si>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</si>
  <si>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</si>
  <si>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</si>
  <si>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</si>
  <si>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</si>
  <si>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</si>
  <si>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</si>
  <si>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</si>
  <si>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</si>
  <si>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</si>
  <si>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</si>
  <si>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</si>
  <si>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</si>
  <si>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</si>
  <si>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</si>
  <si>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</si>
  <si>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</si>
  <si>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</si>
  <si>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</si>
  <si>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</si>
  <si>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</si>
  <si>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</si>
  <si>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</si>
  <si>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</si>
  <si>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</si>
  <si>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</si>
  <si>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</si>
  <si>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</si>
  <si>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</si>
  <si>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</si>
  <si>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</si>
  <si>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</si>
  <si>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</si>
  <si>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</si>
  <si>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</si>
  <si>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</si>
  <si>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</si>
  <si>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</si>
  <si>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</si>
  <si>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</si>
  <si>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</si>
  <si>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</si>
  <si>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</si>
  <si>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</si>
  <si>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</si>
  <si>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</si>
  <si>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</si>
  <si>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</si>
  <si>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</si>
  <si>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</si>
  <si>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</si>
  <si>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</si>
  <si>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</si>
  <si>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</si>
  <si>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</si>
  <si>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</si>
  <si>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</si>
  <si>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</si>
  <si>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</si>
  <si>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</si>
  <si>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</si>
  <si>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</si>
  <si>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</si>
  <si>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</si>
  <si>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</si>
  <si>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</si>
  <si>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</si>
  <si>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</si>
  <si>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</si>
  <si>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</si>
  <si>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</si>
  <si>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</si>
  <si>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</si>
  <si>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</si>
  <si>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</si>
  <si>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</si>
  <si>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</si>
  <si>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</si>
  <si>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</si>
  <si>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</si>
  <si>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</si>
  <si>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</si>
  <si>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</si>
  <si>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</si>
  <si>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</si>
  <si>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</si>
  <si>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</si>
  <si>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</si>
  <si>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</si>
  <si>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</si>
  <si>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</si>
  <si>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</si>
  <si>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</si>
  <si>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</si>
  <si>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</si>
  <si>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</si>
  <si>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</si>
  <si>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</si>
  <si>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</si>
  <si>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</si>
  <si>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</si>
  <si>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</si>
  <si>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</si>
  <si>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</si>
  <si>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</si>
  <si>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</si>
  <si>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</si>
  <si>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</si>
  <si>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</si>
  <si>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</si>
  <si>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</si>
  <si>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</si>
  <si>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</si>
  <si>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</si>
  <si>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</si>
  <si>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</si>
  <si>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</si>
  <si>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</si>
  <si>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</si>
  <si>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</si>
  <si>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</si>
  <si>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</si>
  <si>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</si>
  <si>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</si>
  <si>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</si>
  <si>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</si>
  <si>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</si>
  <si>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</si>
  <si>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</si>
  <si>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</si>
  <si>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</si>
  <si>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</si>
  <si>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</si>
  <si>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</si>
  <si>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</si>
  <si>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</si>
  <si>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</si>
  <si>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</si>
  <si>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</si>
  <si>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</si>
  <si>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</si>
  <si>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</si>
  <si>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</si>
  <si>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</si>
  <si>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</si>
  <si>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</si>
  <si>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</si>
  <si>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</si>
  <si>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</si>
  <si>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</si>
  <si>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</si>
  <si>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</si>
  <si>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</si>
  <si>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</si>
  <si>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</si>
  <si>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</si>
  <si>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</si>
  <si>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</si>
  <si>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</si>
  <si>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</si>
  <si>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</si>
  <si>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</si>
  <si>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</si>
  <si>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</si>
  <si>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</si>
  <si>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</si>
  <si>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</si>
  <si>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</si>
  <si>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</si>
  <si>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</si>
  <si>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</si>
  <si>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</si>
  <si>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</si>
  <si>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</si>
  <si>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</si>
  <si>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</si>
  <si>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</si>
  <si>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</si>
  <si>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</si>
  <si>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</si>
  <si>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</si>
  <si>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</si>
  <si>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</si>
  <si>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</si>
  <si>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</si>
  <si>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</si>
  <si>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</si>
  <si>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</si>
  <si>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</si>
  <si>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</si>
  <si>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</si>
  <si>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</si>
  <si>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</si>
  <si>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</si>
  <si>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</si>
  <si>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</si>
  <si>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</si>
  <si>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</si>
  <si>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</si>
  <si>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</si>
  <si>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</si>
  <si>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</si>
  <si>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</si>
  <si>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</si>
  <si>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</si>
  <si>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</si>
  <si>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</si>
  <si>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</si>
  <si>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</si>
  <si>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</si>
  <si>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</si>
  <si>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</si>
  <si>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</si>
  <si>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</si>
  <si>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</si>
  <si>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</si>
  <si>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</si>
  <si>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</si>
  <si>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</si>
  <si>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</si>
  <si>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</si>
  <si>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</si>
  <si>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</si>
  <si>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</si>
  <si>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</si>
  <si>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</si>
  <si>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</si>
  <si>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</si>
  <si>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</si>
  <si>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</si>
  <si>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</si>
  <si>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</si>
  <si>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</si>
  <si>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</si>
  <si>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</si>
  <si>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</si>
  <si>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</si>
  <si>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</si>
  <si>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</si>
  <si>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</si>
  <si>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</si>
  <si>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</si>
  <si>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</si>
  <si>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</si>
  <si>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</si>
  <si>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</si>
  <si>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</si>
  <si>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</si>
  <si>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</si>
  <si>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</si>
  <si>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</si>
  <si>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</si>
  <si>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</si>
  <si>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</si>
  <si>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</si>
  <si>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</si>
  <si>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</si>
  <si>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</si>
  <si>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</si>
  <si>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</si>
  <si>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</si>
  <si>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</si>
  <si>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</si>
  <si>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</si>
  <si>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</si>
  <si>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</si>
  <si>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</si>
  <si>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</si>
  <si>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</si>
  <si>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</si>
  <si>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</si>
  <si>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</si>
  <si>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</si>
  <si>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</si>
  <si>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</si>
  <si>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</si>
  <si>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</si>
  <si>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</si>
  <si>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</si>
  <si>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</si>
  <si>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</si>
  <si>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</si>
  <si>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</si>
  <si>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</si>
  <si>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</si>
  <si>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</si>
  <si>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</si>
  <si>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</si>
  <si>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</si>
  <si>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</si>
  <si>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</si>
  <si>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</si>
  <si>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</si>
  <si>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</si>
  <si>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</si>
  <si>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</si>
  <si>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</si>
  <si>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</si>
  <si>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</si>
  <si>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</si>
  <si>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</si>
  <si>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</si>
  <si>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</si>
  <si>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</si>
  <si>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</si>
  <si>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</si>
  <si>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</si>
  <si>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</si>
  <si>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</si>
  <si>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</si>
  <si>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</si>
  <si>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</si>
  <si>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</si>
  <si>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</si>
  <si>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</si>
  <si>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</si>
  <si>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</si>
  <si>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</si>
  <si>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</si>
  <si>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</si>
  <si>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</si>
  <si>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</si>
  <si>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</si>
  <si>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</si>
  <si>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</si>
  <si>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</si>
  <si>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</si>
  <si>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</si>
  <si>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</si>
  <si>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</si>
  <si>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</si>
  <si>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</si>
  <si>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</si>
  <si>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</si>
  <si>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</si>
  <si>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</si>
  <si>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</si>
  <si>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</si>
  <si>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</si>
  <si>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</si>
  <si>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</si>
  <si>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</si>
  <si>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</si>
  <si>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</si>
  <si>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</si>
  <si>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</si>
  <si>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</si>
  <si>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</si>
  <si>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</si>
  <si>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</si>
  <si>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</si>
  <si>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</si>
  <si>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</si>
  <si>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</si>
  <si>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</si>
  <si>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</si>
  <si>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</si>
  <si>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</si>
  <si>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</si>
  <si>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</si>
  <si>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</si>
  <si>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</si>
  <si>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</si>
  <si>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</si>
  <si>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</si>
  <si>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</si>
  <si>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</si>
  <si>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</si>
  <si>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</si>
  <si>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</si>
  <si>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</si>
  <si>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</si>
  <si>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</si>
  <si>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</si>
  <si>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</si>
  <si>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</si>
  <si>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</si>
  <si>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</si>
  <si>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</si>
  <si>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</si>
  <si>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</si>
  <si>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</si>
  <si>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</si>
  <si>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</si>
  <si>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</si>
  <si>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</si>
  <si>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</si>
  <si>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</si>
  <si>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</si>
  <si>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</si>
  <si>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</si>
  <si>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</si>
  <si>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</si>
  <si>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</si>
  <si>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</si>
  <si>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</si>
  <si>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</si>
  <si>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</si>
  <si>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</si>
  <si>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</si>
  <si>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</si>
  <si>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</si>
  <si>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</si>
  <si>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</si>
  <si>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</si>
  <si>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</si>
  <si>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</si>
  <si>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</si>
  <si>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</si>
  <si>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</si>
  <si>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</si>
  <si>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</si>
  <si>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</si>
  <si>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</si>
  <si>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</si>
  <si>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</si>
  <si>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</si>
  <si>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</si>
  <si>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</si>
  <si>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</si>
  <si>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</si>
  <si>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</si>
  <si>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</si>
  <si>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</si>
  <si>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</si>
  <si>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</si>
  <si>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</si>
  <si>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</si>
  <si>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</si>
  <si>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</si>
  <si>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</si>
  <si>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</si>
  <si>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</si>
  <si>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</si>
  <si>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</si>
  <si>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</si>
  <si>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</si>
  <si>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</si>
  <si>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</si>
  <si>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</si>
  <si>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</si>
  <si>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</si>
  <si>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</si>
  <si>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</si>
  <si>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</si>
  <si>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</si>
  <si>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</si>
  <si>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</si>
  <si>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</si>
  <si>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</si>
  <si>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</si>
  <si>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</si>
  <si>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</si>
  <si>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</si>
  <si>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</si>
  <si>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</si>
  <si>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</si>
  <si>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</si>
  <si>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</si>
  <si>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</si>
  <si>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</si>
  <si>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</si>
  <si>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</si>
  <si>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</si>
  <si>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</si>
  <si>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</si>
  <si>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</si>
  <si>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</si>
  <si>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</si>
  <si>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</si>
  <si>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</si>
  <si>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</si>
  <si>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</si>
  <si>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</si>
  <si>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</si>
  <si>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</si>
  <si>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</si>
  <si>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</si>
  <si>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</si>
  <si>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</si>
  <si>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</si>
  <si>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</si>
  <si>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</si>
  <si>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</si>
  <si>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</si>
  <si>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</si>
  <si>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</si>
  <si>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</si>
  <si>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</si>
  <si>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</si>
  <si>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</si>
  <si>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</si>
  <si>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</si>
  <si>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</si>
  <si>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</si>
  <si>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</si>
  <si>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</si>
  <si>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</si>
  <si>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</si>
  <si>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</si>
  <si>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</si>
  <si>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</si>
  <si>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</si>
  <si>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</si>
  <si>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</si>
  <si>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</si>
  <si>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</si>
  <si>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</si>
  <si>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</si>
  <si>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</si>
  <si>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</si>
  <si>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</si>
  <si>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</si>
  <si>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</si>
  <si>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</si>
  <si>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</si>
  <si>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</si>
  <si>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</si>
  <si>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</si>
  <si>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</si>
  <si>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</si>
  <si>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</si>
  <si>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</si>
  <si>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</si>
  <si>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</si>
  <si>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</si>
  <si>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</si>
  <si>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</si>
  <si>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</si>
  <si>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</si>
  <si>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</si>
  <si>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</si>
  <si>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</si>
  <si>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</si>
  <si>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</si>
  <si>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</si>
  <si>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</si>
  <si>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</si>
  <si>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</si>
  <si>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</si>
  <si>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</si>
  <si>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</si>
  <si>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</si>
  <si>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</si>
  <si>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</si>
  <si>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</si>
  <si>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</si>
  <si>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</si>
  <si>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</si>
  <si>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</si>
  <si>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</si>
  <si>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</si>
  <si>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</si>
  <si>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</si>
  <si>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</si>
  <si>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</si>
  <si>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</si>
  <si>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</si>
  <si>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</si>
  <si>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</si>
  <si>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</si>
  <si>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</si>
  <si>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</si>
  <si>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</si>
  <si>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</si>
  <si>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</si>
  <si>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</si>
  <si>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</si>
  <si>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</si>
  <si>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</si>
  <si>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</si>
  <si>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</si>
  <si>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</si>
  <si>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</si>
  <si>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</si>
  <si>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</si>
  <si>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</si>
  <si>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</si>
  <si>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</si>
  <si>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</si>
  <si>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</si>
  <si>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</si>
  <si>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</si>
  <si>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</si>
  <si>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</si>
  <si>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</si>
  <si>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</si>
  <si>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</si>
  <si>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</si>
  <si>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</si>
  <si>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</si>
  <si>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</si>
  <si>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</si>
  <si>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</si>
  <si>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</si>
  <si>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</si>
  <si>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</si>
  <si>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</si>
  <si>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</si>
  <si>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</si>
  <si>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</si>
  <si>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</si>
  <si>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</si>
  <si>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</si>
  <si>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</si>
  <si>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</si>
  <si>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</si>
  <si>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</si>
  <si>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</si>
  <si>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</si>
  <si>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</si>
  <si>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</si>
  <si>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</si>
  <si>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</si>
  <si>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</si>
  <si>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</si>
  <si>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</si>
  <si>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</si>
  <si>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</si>
  <si>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</si>
  <si>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</si>
  <si>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</si>
  <si>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</si>
  <si>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</si>
  <si>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</si>
  <si>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</si>
  <si>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</si>
  <si>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</si>
  <si>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</si>
  <si>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</si>
  <si>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</si>
  <si>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</si>
  <si>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</si>
  <si>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</si>
  <si>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</si>
  <si>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</si>
  <si>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</si>
  <si>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</si>
  <si>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</si>
  <si>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</si>
  <si>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</si>
  <si>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</si>
  <si>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</si>
  <si>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</si>
  <si>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</si>
  <si>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</si>
  <si>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</si>
  <si>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</si>
  <si>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</si>
  <si>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</si>
  <si>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</si>
  <si>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</si>
  <si>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</si>
  <si>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</si>
  <si>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</si>
  <si>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</si>
  <si>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</si>
  <si>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</si>
  <si>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</si>
  <si>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</si>
  <si>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</si>
  <si>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</si>
  <si>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</si>
  <si>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</si>
  <si>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</si>
  <si>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</si>
  <si>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</si>
  <si>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</si>
  <si>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</si>
  <si>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</si>
  <si>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</si>
  <si>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</si>
  <si>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</si>
  <si>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</si>
  <si>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</si>
  <si>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</si>
  <si>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</si>
  <si>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</si>
  <si>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</si>
  <si>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</si>
  <si>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</si>
  <si>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</si>
  <si>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</si>
  <si>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</si>
  <si>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</si>
  <si>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</si>
  <si>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</si>
  <si>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</si>
  <si>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</si>
  <si>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</si>
  <si>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</si>
  <si>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</si>
  <si>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</si>
  <si>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</si>
  <si>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</si>
  <si>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</si>
  <si>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</si>
  <si>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</si>
  <si>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</si>
  <si>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</si>
  <si>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</si>
  <si>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</si>
  <si>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</si>
  <si>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</si>
  <si>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</si>
  <si>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</si>
  <si>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</si>
  <si>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</si>
  <si>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</si>
  <si>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</si>
  <si>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</si>
  <si>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</si>
  <si>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</si>
  <si>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</si>
  <si>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</si>
  <si>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</si>
  <si>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</si>
  <si>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</si>
  <si>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</si>
  <si>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</si>
  <si>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</si>
  <si>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</si>
  <si>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</si>
  <si>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</si>
  <si>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</si>
  <si>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</si>
  <si>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</si>
  <si>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</si>
  <si>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</si>
  <si>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</si>
  <si>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</si>
  <si>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</si>
  <si>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</si>
  <si>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</si>
  <si>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</si>
  <si>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</si>
  <si>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</si>
  <si>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</si>
  <si>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</si>
  <si>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</si>
  <si>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</si>
  <si>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</si>
  <si>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</si>
  <si>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</si>
  <si>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</si>
  <si>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</si>
  <si>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</si>
  <si>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</si>
  <si>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</si>
  <si>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</si>
  <si>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</si>
  <si>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</si>
  <si>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</si>
  <si>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</si>
  <si>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</si>
  <si>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</si>
  <si>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</si>
  <si>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</si>
  <si>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</si>
  <si>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</si>
  <si>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</si>
  <si>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</si>
  <si>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</si>
  <si>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</si>
  <si>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</si>
  <si>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</si>
  <si>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</si>
  <si>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</si>
  <si>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</si>
  <si>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</si>
  <si>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</si>
  <si>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</si>
  <si>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</si>
  <si>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</si>
  <si>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</si>
  <si>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</si>
  <si>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</si>
  <si>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</si>
  <si>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</si>
  <si>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</si>
  <si>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</si>
  <si>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</si>
  <si>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</si>
  <si>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</si>
  <si>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</si>
  <si>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</si>
  <si>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</si>
  <si>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</si>
  <si>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</si>
  <si>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</si>
  <si>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</si>
  <si>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</si>
  <si>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</si>
  <si>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</si>
  <si>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</si>
  <si>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</si>
  <si>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</si>
  <si>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</si>
  <si>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</si>
  <si>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</si>
  <si>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</si>
  <si>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</si>
  <si>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</si>
  <si>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</si>
  <si>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</si>
  <si>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</si>
  <si>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</si>
  <si>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</si>
  <si>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</si>
  <si>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</si>
  <si>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</si>
  <si>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</si>
  <si>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</si>
  <si>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</si>
  <si>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</si>
  <si>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</si>
  <si>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</si>
  <si>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</si>
  <si>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</si>
  <si>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</si>
  <si>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</si>
  <si>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</si>
  <si>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</si>
  <si>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</si>
  <si>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</si>
  <si>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</si>
  <si>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</si>
  <si>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</si>
  <si>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</si>
  <si>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</si>
  <si>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</si>
  <si>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</si>
  <si>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</si>
  <si>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</si>
  <si>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</si>
  <si>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</si>
  <si>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</si>
  <si>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</si>
  <si>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</si>
  <si>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</si>
  <si>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</si>
  <si>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</si>
  <si>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</si>
  <si>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</si>
  <si>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</si>
  <si>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</si>
  <si>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</si>
  <si>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</si>
  <si>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</si>
  <si>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</si>
  <si>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</si>
  <si>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</si>
  <si>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</si>
  <si>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</si>
  <si>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</si>
  <si>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</si>
  <si>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</si>
  <si>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</si>
  <si>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</si>
  <si>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</si>
  <si>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</si>
  <si>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</si>
  <si>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</si>
  <si>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</si>
  <si>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</si>
  <si>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</si>
  <si>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</si>
  <si>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</si>
  <si>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</si>
  <si>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</si>
  <si>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</si>
  <si>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</si>
  <si>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</si>
  <si>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</si>
  <si>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</si>
  <si>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</si>
  <si>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</si>
  <si>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</si>
  <si>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</si>
  <si>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</si>
  <si>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</si>
  <si>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</si>
  <si>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</si>
  <si>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</si>
  <si>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</si>
  <si>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</si>
  <si>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</si>
  <si>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</si>
  <si>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</si>
  <si>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</si>
  <si>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</si>
  <si>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</si>
  <si>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</si>
  <si>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</si>
  <si>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</si>
  <si>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</si>
  <si>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</si>
  <si>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</si>
  <si>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</si>
  <si>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</si>
  <si>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</si>
  <si>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</si>
  <si>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</si>
  <si>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</si>
  <si>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</si>
  <si>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</si>
  <si>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</si>
  <si>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</si>
  <si>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</si>
  <si>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</si>
  <si>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</si>
  <si>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</si>
  <si>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</si>
  <si>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</si>
  <si>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</si>
  <si>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</si>
  <si>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</si>
  <si>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</si>
  <si>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</si>
  <si>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</si>
  <si>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</si>
  <si>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</si>
  <si>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</si>
  <si>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</si>
  <si>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</si>
  <si>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</si>
  <si>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</si>
  <si>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</si>
  <si>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</si>
  <si>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</si>
  <si>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</si>
  <si>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</si>
  <si>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</si>
  <si>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</si>
  <si>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</si>
  <si>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</si>
  <si>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</si>
  <si>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</si>
  <si>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</si>
  <si>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</si>
  <si>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</si>
  <si>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</si>
  <si>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</si>
  <si>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</si>
  <si>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</si>
  <si>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</si>
  <si>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</si>
  <si>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</si>
  <si>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</si>
  <si>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</si>
  <si>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</si>
  <si>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</si>
  <si>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</si>
  <si>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</si>
  <si>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</si>
  <si>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</si>
  <si>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</si>
  <si>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</si>
  <si>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</si>
  <si>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</si>
  <si>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</si>
  <si>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</si>
  <si>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</si>
  <si>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</si>
  <si>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</si>
  <si>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</si>
  <si>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</si>
  <si>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</si>
  <si>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</si>
  <si>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</si>
  <si>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</si>
  <si>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</si>
  <si>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</si>
  <si>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</si>
  <si>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</si>
  <si>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</si>
  <si>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</si>
  <si>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</si>
  <si>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</si>
  <si>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</si>
  <si>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</si>
  <si>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</si>
  <si>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</si>
  <si>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</si>
  <si>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</si>
  <si>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</si>
  <si>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</si>
  <si>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</si>
  <si>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</si>
  <si>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</si>
  <si>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</si>
  <si>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</si>
  <si>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</si>
  <si>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</si>
  <si>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</si>
  <si>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</si>
  <si>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</si>
  <si>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</si>
  <si>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</si>
  <si>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</si>
  <si>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</si>
  <si>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</si>
  <si>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</si>
  <si>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</si>
  <si>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</si>
  <si>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</si>
  <si>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</si>
  <si>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</si>
  <si>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</si>
  <si>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</si>
  <si>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</si>
  <si>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</si>
  <si>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</si>
  <si>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</si>
  <si>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</si>
  <si>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</si>
  <si>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</si>
  <si>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</si>
  <si>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</si>
  <si>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</si>
  <si>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</si>
  <si>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</si>
  <si>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</si>
  <si>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</si>
  <si>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</si>
  <si>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</si>
  <si>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</si>
  <si>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</si>
  <si>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</si>
  <si>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</si>
  <si>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</si>
  <si>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</si>
  <si>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</si>
  <si>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</si>
  <si>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</si>
  <si>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</si>
  <si>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</si>
  <si>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</si>
  <si>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</si>
  <si>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</si>
  <si>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</si>
  <si>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</si>
  <si>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</si>
  <si>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</si>
  <si>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</si>
  <si>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</si>
  <si>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</si>
  <si>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</si>
  <si>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</si>
  <si>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</si>
  <si>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</si>
  <si>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</si>
  <si>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</si>
  <si>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</si>
  <si>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</si>
  <si>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</si>
  <si>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</si>
  <si>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</si>
  <si>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</si>
  <si>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</si>
  <si>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</si>
  <si>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</si>
  <si>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</si>
  <si>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</si>
  <si>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</si>
  <si>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</si>
  <si>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</si>
  <si>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</si>
  <si>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</si>
  <si>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</si>
  <si>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</si>
  <si>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</si>
  <si>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</si>
  <si>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</si>
  <si>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</si>
  <si>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</si>
  <si>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</si>
  <si>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</si>
  <si>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</si>
  <si>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</si>
  <si>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</si>
  <si>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</si>
  <si>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</si>
  <si>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</si>
  <si>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</si>
  <si>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</si>
  <si>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</si>
  <si>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</si>
  <si>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</si>
  <si>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</si>
  <si>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</si>
  <si>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</si>
  <si>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</si>
  <si>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</si>
  <si>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</si>
  <si>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</si>
  <si>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</si>
  <si>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</si>
  <si>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</si>
  <si>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</si>
  <si>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</si>
  <si>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</si>
  <si>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</si>
  <si>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</si>
  <si>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</si>
  <si>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</si>
  <si>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</si>
  <si>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</si>
  <si>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</si>
  <si>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</si>
  <si>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</si>
  <si>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</si>
  <si>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</si>
  <si>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</si>
  <si>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</si>
  <si>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</si>
  <si>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</si>
  <si>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</si>
  <si>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</si>
  <si>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</si>
  <si>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</si>
  <si>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</si>
  <si>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</si>
  <si>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</si>
  <si>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</si>
  <si>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</si>
  <si>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</si>
  <si>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</si>
  <si>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</si>
  <si>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</si>
  <si>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</si>
  <si>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</si>
  <si>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</si>
  <si>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</si>
  <si>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</si>
  <si>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</si>
  <si>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</si>
  <si>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</si>
  <si>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</si>
  <si>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</si>
  <si>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</si>
  <si>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</si>
  <si>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</si>
  <si>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</si>
  <si>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</si>
  <si>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</si>
  <si>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</si>
  <si>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</si>
  <si>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</si>
  <si>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</si>
  <si>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</si>
  <si>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</si>
  <si>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</si>
  <si>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</si>
  <si>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</si>
  <si>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</si>
  <si>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</si>
  <si>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</si>
  <si>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</si>
  <si>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</si>
  <si>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</si>
  <si>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</si>
  <si>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</si>
  <si>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</si>
  <si>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</si>
  <si>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</si>
  <si>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</si>
  <si>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</si>
  <si>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</si>
  <si>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</si>
  <si>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</si>
  <si>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</si>
  <si>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</si>
  <si>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</si>
  <si>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</si>
  <si>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</si>
  <si>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</si>
  <si>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</si>
  <si>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</si>
  <si>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</si>
  <si>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</si>
  <si>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</si>
  <si>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</si>
  <si>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</si>
  <si>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</si>
  <si>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</si>
  <si>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</si>
  <si>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</si>
  <si>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</si>
  <si>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</si>
  <si>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</si>
  <si>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</si>
  <si>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</si>
  <si>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</si>
  <si>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</si>
  <si>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</si>
  <si>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</si>
  <si>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</si>
  <si>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</si>
  <si>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</si>
  <si>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</si>
  <si>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</si>
  <si>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</si>
  <si>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</si>
  <si>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</si>
  <si>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</si>
  <si>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</si>
  <si>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</si>
  <si>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</si>
  <si>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</si>
  <si>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</si>
  <si>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</si>
  <si>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</si>
  <si>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</si>
  <si>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</si>
  <si>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</si>
  <si>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</si>
  <si>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</si>
  <si>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</si>
  <si>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</si>
  <si>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</si>
  <si>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</si>
  <si>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</si>
  <si>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</si>
  <si>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</si>
  <si>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</si>
  <si>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</si>
  <si>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</si>
  <si>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</si>
  <si>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</si>
  <si>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</si>
  <si>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</si>
  <si>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</si>
  <si>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</si>
  <si>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</si>
  <si>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</si>
  <si>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</si>
  <si>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</si>
  <si>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</si>
  <si>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</si>
  <si>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</si>
  <si>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</si>
  <si>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</si>
  <si>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</si>
  <si>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</si>
  <si>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</si>
  <si>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</si>
  <si>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</si>
  <si>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</si>
  <si>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</si>
  <si>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</si>
  <si>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</si>
  <si>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</si>
  <si>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</si>
  <si>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</si>
  <si>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</si>
  <si>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</si>
  <si>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</si>
  <si>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</si>
  <si>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</si>
  <si>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</si>
  <si>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</si>
  <si>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</si>
  <si>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</si>
  <si>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</si>
  <si>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</si>
  <si>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</si>
  <si>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</si>
  <si>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</si>
  <si>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</si>
  <si>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</si>
  <si>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</si>
  <si>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</si>
  <si>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</si>
  <si>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</si>
  <si>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</si>
  <si>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</si>
  <si>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</si>
  <si>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</si>
  <si>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</si>
  <si>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</si>
  <si>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</si>
  <si>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</si>
  <si>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</si>
  <si>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</si>
  <si>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</si>
  <si>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</si>
  <si>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</si>
  <si>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</si>
  <si>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</si>
  <si>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</si>
  <si>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</si>
  <si>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</si>
  <si>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</si>
  <si>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</si>
  <si>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</si>
  <si>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</si>
  <si>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</si>
  <si>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</si>
  <si>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</si>
  <si>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</si>
  <si>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</si>
  <si>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</si>
  <si>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</si>
  <si>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</si>
  <si>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</si>
  <si>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</si>
  <si>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</si>
  <si>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</si>
  <si>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</si>
  <si>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</si>
  <si>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</si>
  <si>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</si>
  <si>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</si>
  <si>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</si>
  <si>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</si>
  <si>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</si>
  <si>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</si>
  <si>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</si>
  <si>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</si>
  <si>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</si>
  <si>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</si>
  <si>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</si>
  <si>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</si>
  <si>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</si>
  <si>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</si>
  <si>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</si>
  <si>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</si>
  <si>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</si>
  <si>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</si>
  <si>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</si>
  <si>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</si>
  <si>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</si>
  <si>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</si>
  <si>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</si>
  <si>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</si>
  <si>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</si>
  <si>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</si>
  <si>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</si>
  <si>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</si>
  <si>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</si>
  <si>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</si>
  <si>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</si>
  <si>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</si>
  <si>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</si>
  <si>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</si>
  <si>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</si>
  <si>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</si>
  <si>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</si>
  <si>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</si>
  <si>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</si>
  <si>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</si>
  <si>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</si>
  <si>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</si>
  <si>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</si>
  <si>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</si>
  <si>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</si>
  <si>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</si>
  <si>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</si>
  <si>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</si>
  <si>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</si>
  <si>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</si>
  <si>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</si>
  <si>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</si>
  <si>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</si>
  <si>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</si>
  <si>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</si>
  <si>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</si>
  <si>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</si>
  <si>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</si>
  <si>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</si>
  <si>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</si>
  <si>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</si>
  <si>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</si>
  <si>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</si>
  <si>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</si>
  <si>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</si>
  <si>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</si>
  <si>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</si>
  <si>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</si>
  <si>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</si>
  <si>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</si>
  <si>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</si>
  <si>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</si>
  <si>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</si>
  <si>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</si>
  <si>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</si>
  <si>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</si>
  <si>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</si>
  <si>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</si>
  <si>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</si>
  <si>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</si>
  <si>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</si>
  <si>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</si>
  <si>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</si>
  <si>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</si>
  <si>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</si>
  <si>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</si>
  <si>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</si>
  <si>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</si>
  <si>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</si>
  <si>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</si>
  <si>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</si>
  <si>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</si>
  <si>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</si>
  <si>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</si>
  <si>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</si>
  <si>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</si>
  <si>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</si>
  <si>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</si>
  <si>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</si>
  <si>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</si>
  <si>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</si>
  <si>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</si>
  <si>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</si>
  <si>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</si>
  <si>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</si>
  <si>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</si>
  <si>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</si>
  <si>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</si>
  <si>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</si>
  <si>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</si>
  <si>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</si>
  <si>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</si>
  <si>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</si>
  <si>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</si>
  <si>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</si>
  <si>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</si>
  <si>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</si>
  <si>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</si>
  <si>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</si>
  <si>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</si>
  <si>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</si>
  <si>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</si>
  <si>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</si>
  <si>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</si>
  <si>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</si>
  <si>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</si>
  <si>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</si>
  <si>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</si>
  <si>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</si>
  <si>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</si>
  <si>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</si>
  <si>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</si>
  <si>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</si>
  <si>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</si>
  <si>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</si>
  <si>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</si>
  <si>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</si>
  <si>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</si>
  <si>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</si>
  <si>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</si>
  <si>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</si>
  <si>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</si>
  <si>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</si>
  <si>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</si>
  <si>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</si>
  <si>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</si>
  <si>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</si>
  <si>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</si>
  <si>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</si>
  <si>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</si>
  <si>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</si>
  <si>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</si>
  <si>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</si>
  <si>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</si>
  <si>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</si>
  <si>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</si>
  <si>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</si>
  <si>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</si>
  <si>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</si>
  <si>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</si>
  <si>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</si>
  <si>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</si>
  <si>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</si>
  <si>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</si>
  <si>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</si>
  <si>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</si>
  <si>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</si>
  <si>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</si>
  <si>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</si>
  <si>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</si>
  <si>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</si>
  <si>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</si>
  <si>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</si>
  <si>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</si>
  <si>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</si>
  <si>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</si>
  <si>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</si>
  <si>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</si>
  <si>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</si>
  <si>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</si>
  <si>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</si>
  <si>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</si>
  <si>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</si>
  <si>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</si>
  <si>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</si>
  <si>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</si>
  <si>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</si>
  <si>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</si>
  <si>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</si>
  <si>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</si>
  <si>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</si>
  <si>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</si>
  <si>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</si>
  <si>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</si>
  <si>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</si>
  <si>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</si>
  <si>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</si>
  <si>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</si>
  <si>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</si>
  <si>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</si>
  <si>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</si>
  <si>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</si>
  <si>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</si>
  <si>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</si>
  <si>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</si>
  <si>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</si>
  <si>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</si>
  <si>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</si>
  <si>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</si>
  <si>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</si>
  <si>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</si>
  <si>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</si>
  <si>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</si>
  <si>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</si>
  <si>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</si>
  <si>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</si>
  <si>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</si>
  <si>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</si>
  <si>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</si>
  <si>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</si>
  <si>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</si>
  <si>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</si>
  <si>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</si>
  <si>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</si>
  <si>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</si>
  <si>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</si>
  <si>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</si>
  <si>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</si>
  <si>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</si>
  <si>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</si>
  <si>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</si>
  <si>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</si>
  <si>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</si>
  <si>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</si>
  <si>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</si>
  <si>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</si>
  <si>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</si>
  <si>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</si>
  <si>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</si>
  <si>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</si>
  <si>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</si>
  <si>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</si>
  <si>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</si>
  <si>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</si>
  <si>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</si>
  <si>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</si>
  <si>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</si>
  <si>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</si>
  <si>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</si>
  <si>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</si>
  <si>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</si>
  <si>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</si>
  <si>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</si>
  <si>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</si>
  <si>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</si>
  <si>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</si>
  <si>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</si>
  <si>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</si>
  <si>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</si>
  <si>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</si>
  <si>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</si>
  <si>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</si>
  <si>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</si>
  <si>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</si>
  <si>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</si>
  <si>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</si>
  <si>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</si>
  <si>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</si>
  <si>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</si>
  <si>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</si>
  <si>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</si>
  <si>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</si>
  <si>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</si>
  <si>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</si>
  <si>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</si>
  <si>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</si>
  <si>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</si>
  <si>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</si>
  <si>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</si>
  <si>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</si>
  <si>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</si>
  <si>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</si>
  <si>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</si>
  <si>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</si>
  <si>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</si>
  <si>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</si>
  <si>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</si>
  <si>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</si>
  <si>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</si>
  <si>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</si>
  <si>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</si>
  <si>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</si>
  <si>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</si>
  <si>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</si>
  <si>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</si>
  <si>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</si>
  <si>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</si>
  <si>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</si>
  <si>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</si>
  <si>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</si>
  <si>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</si>
  <si>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</si>
  <si>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</si>
  <si>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</si>
  <si>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</si>
  <si>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</si>
  <si>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</si>
  <si>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</si>
  <si>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</si>
  <si>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</si>
  <si>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</si>
  <si>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</si>
  <si>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</si>
  <si>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</si>
  <si>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</si>
  <si>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</si>
  <si>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</si>
  <si>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</si>
  <si>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</si>
  <si>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</si>
  <si>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</si>
  <si>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</si>
  <si>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</si>
  <si>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</si>
  <si>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</si>
  <si>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</si>
  <si>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</si>
  <si>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</si>
  <si>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</si>
  <si>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</si>
  <si>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</si>
  <si>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</si>
  <si>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</si>
  <si>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</si>
  <si>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</si>
  <si>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</si>
  <si>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</si>
  <si>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</si>
  <si>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</si>
  <si>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</si>
  <si>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</si>
  <si>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</si>
  <si>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</si>
  <si>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</si>
  <si>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</si>
  <si>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</si>
  <si>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</si>
  <si>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</si>
  <si>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</si>
  <si>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</si>
  <si>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</si>
  <si>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</si>
  <si>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</si>
  <si>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</si>
  <si>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</si>
  <si>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</si>
  <si>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</si>
  <si>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</si>
  <si>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</si>
  <si>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</si>
  <si>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</si>
  <si>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</si>
  <si>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</si>
  <si>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</si>
  <si>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</si>
  <si>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</si>
  <si>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</si>
  <si>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</si>
  <si>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</si>
  <si>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</si>
  <si>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</si>
  <si>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</si>
  <si>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</si>
  <si>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</si>
  <si>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</si>
  <si>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</si>
  <si>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</si>
  <si>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</si>
  <si>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</si>
  <si>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</si>
  <si>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</si>
  <si>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</si>
  <si>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</si>
  <si>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</si>
  <si>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</si>
  <si>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</si>
  <si>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</si>
  <si>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</si>
  <si>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</si>
  <si>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</si>
  <si>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</si>
  <si>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</si>
  <si>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</si>
  <si>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</si>
  <si>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</si>
  <si>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</si>
  <si>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</si>
  <si>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</si>
  <si>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</si>
  <si>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</si>
  <si>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</si>
  <si>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</si>
  <si>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</si>
  <si>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</si>
  <si>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</si>
  <si>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</si>
  <si>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</si>
  <si>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</si>
  <si>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</si>
  <si>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</si>
  <si>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</si>
  <si>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</si>
  <si>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</si>
  <si>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</si>
  <si>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</si>
  <si>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</si>
  <si>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</si>
  <si>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</si>
  <si>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</si>
  <si>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</si>
  <si>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</si>
  <si>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</si>
  <si>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</si>
  <si>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</si>
  <si>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</si>
  <si>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</si>
  <si>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</si>
  <si>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</si>
  <si>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</si>
  <si>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</si>
  <si>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</si>
  <si>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</si>
  <si>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</si>
  <si>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</si>
  <si>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</si>
  <si>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</si>
  <si>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</si>
  <si>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</si>
  <si>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</si>
  <si>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</si>
  <si>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</si>
  <si>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</si>
  <si>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</si>
  <si>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</si>
  <si>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</si>
  <si>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</si>
  <si>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</si>
  <si>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</si>
  <si>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</si>
  <si>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</si>
  <si>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</si>
  <si>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</si>
  <si>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</si>
  <si>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</si>
  <si>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</si>
  <si>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</si>
  <si>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</si>
  <si>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</si>
  <si>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</si>
  <si>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</si>
  <si>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</si>
  <si>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</si>
  <si>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</si>
  <si>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</si>
  <si>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</si>
  <si>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</si>
  <si>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</si>
  <si>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</si>
  <si>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</si>
  <si>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</si>
  <si>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</si>
  <si>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</si>
  <si>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</si>
  <si>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</si>
  <si>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</si>
  <si>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</si>
  <si>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</si>
  <si>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</si>
  <si>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</si>
  <si>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</si>
  <si>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</si>
  <si>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</si>
  <si>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</si>
  <si>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</si>
  <si>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</si>
  <si>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</si>
  <si>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</si>
  <si>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</si>
  <si>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</si>
  <si>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</si>
  <si>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</si>
  <si>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</si>
  <si>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</si>
  <si>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</si>
  <si>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</si>
  <si>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</si>
  <si>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</si>
  <si>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</si>
  <si>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</si>
  <si>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</si>
  <si>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</si>
  <si>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</si>
  <si>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</si>
  <si>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</si>
  <si>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</si>
  <si>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</si>
  <si>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</si>
  <si>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</si>
  <si>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</si>
  <si>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</si>
  <si>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</si>
  <si>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</si>
  <si>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</si>
  <si>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</si>
  <si>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</si>
  <si>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</si>
  <si>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</si>
  <si>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</si>
  <si>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</si>
  <si>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</si>
  <si>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</si>
  <si>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</si>
  <si>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</si>
  <si>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</si>
  <si>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</si>
  <si>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</si>
  <si>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</si>
  <si>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</si>
  <si>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</si>
  <si>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</si>
  <si>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</si>
  <si>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</si>
  <si>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</si>
  <si>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</si>
  <si>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</si>
  <si>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</si>
  <si>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</si>
  <si>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</si>
  <si>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</si>
  <si>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</si>
  <si>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</si>
  <si>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</si>
  <si>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</si>
  <si>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</si>
  <si>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</si>
  <si>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</si>
  <si>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</si>
  <si>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</si>
  <si>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</si>
  <si>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</si>
  <si>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</si>
  <si>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</si>
  <si>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</si>
  <si>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</si>
  <si>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</si>
  <si>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</si>
  <si>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</si>
  <si>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</si>
  <si>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</si>
  <si>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</si>
  <si>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</si>
  <si>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</si>
  <si>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</si>
  <si>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</si>
  <si>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</si>
  <si>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</si>
  <si>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</si>
  <si>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</si>
  <si>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</si>
  <si>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</si>
  <si>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</si>
  <si>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</si>
  <si>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</si>
  <si>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</si>
  <si>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</si>
  <si>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</si>
  <si>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</si>
  <si>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</si>
  <si>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</si>
  <si>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</si>
  <si>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</si>
  <si>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</si>
  <si>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</si>
  <si>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</si>
  <si>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</si>
  <si>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</si>
  <si>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</si>
  <si>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</si>
  <si>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</si>
  <si>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</si>
  <si>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</si>
  <si>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</si>
  <si>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</si>
  <si>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</si>
  <si>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</si>
  <si>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</si>
  <si>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</si>
  <si>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</si>
  <si>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</si>
  <si>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</si>
  <si>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</si>
  <si>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</si>
  <si>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</si>
  <si>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</si>
  <si>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</si>
  <si>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</si>
  <si>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</si>
  <si>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</si>
  <si>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</si>
  <si>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</si>
  <si>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</si>
  <si>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</si>
  <si>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</si>
  <si>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</si>
  <si>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</si>
  <si>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</si>
  <si>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</si>
  <si>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</si>
  <si>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</si>
  <si>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</si>
  <si>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</si>
  <si>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</si>
  <si>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</si>
  <si>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</si>
  <si>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</si>
  <si>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</si>
  <si>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</si>
  <si>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</si>
  <si>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</si>
  <si>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</si>
  <si>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</si>
  <si>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</si>
  <si>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</si>
  <si>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</si>
  <si>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</si>
  <si>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</si>
  <si>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</si>
  <si>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</si>
  <si>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</si>
  <si>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</si>
  <si>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</si>
  <si>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</si>
  <si>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</si>
  <si>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</si>
  <si>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</si>
  <si>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</si>
  <si>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</si>
  <si>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</si>
  <si>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</si>
  <si>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</si>
  <si>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</si>
  <si>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</si>
  <si>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</si>
  <si>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</si>
  <si>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</si>
  <si>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</si>
  <si>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</si>
  <si>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</si>
  <si>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</si>
  <si>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</si>
  <si>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</si>
  <si>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</si>
  <si>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</si>
  <si>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</si>
  <si>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</si>
  <si>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</si>
  <si>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</si>
  <si>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</si>
  <si>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</si>
  <si>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</si>
  <si>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</si>
  <si>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</si>
  <si>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Execelsa</t>
  </si>
  <si>
    <t>Liberica</t>
  </si>
  <si>
    <t>Robusta</t>
  </si>
  <si>
    <t>Sum of Sales</t>
  </si>
  <si>
    <t xml:space="preserve"> </t>
  </si>
  <si>
    <t>Row Labels</t>
  </si>
  <si>
    <t>Grand Total</t>
  </si>
  <si>
    <t>Column Labels</t>
  </si>
  <si>
    <t>KPIs - Executives</t>
  </si>
  <si>
    <t>Metric</t>
  </si>
  <si>
    <t>Data</t>
  </si>
  <si>
    <t>Total Sales</t>
  </si>
  <si>
    <t>Total Number of Orders</t>
  </si>
  <si>
    <t>Customer Loyalty (%)</t>
  </si>
  <si>
    <t>Total Profit</t>
  </si>
  <si>
    <t>Product Details</t>
  </si>
  <si>
    <t>Arabica-Light-2.5</t>
  </si>
  <si>
    <t>Arabica-Medium-2.5</t>
  </si>
  <si>
    <t>Excelsa-Light-2.5</t>
  </si>
  <si>
    <t>Liberica-Dark-2.5</t>
  </si>
  <si>
    <t>Liberica-Light-2.5</t>
  </si>
  <si>
    <t>max sales</t>
  </si>
  <si>
    <t>min sales</t>
  </si>
  <si>
    <t>max unit price</t>
  </si>
  <si>
    <t>min unit price</t>
  </si>
  <si>
    <t>max profit</t>
  </si>
  <si>
    <t>min profit</t>
  </si>
  <si>
    <t>Product Profit</t>
  </si>
  <si>
    <t>Sum of Product Profit</t>
  </si>
  <si>
    <t>Avg Sales Value</t>
  </si>
  <si>
    <t>Avg QTY of Coffee sold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</si>
</sst>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0.0"/>
    <numFmt numFmtId="165" formatCode="dd\-mmm\-yyyy"/>
    <numFmt numFmtId="166" formatCode="[$$-409]#,##0"/>
    <numFmt numFmtId="167" formatCode="&quot;$&quot;#,##0"/>
    <numFmt numFmtId="168" formatCode="0.0\ &quot;kg&quot;"/>
  </numFmts>
  <fonts count="4" x14ac:knownFonts="1">
    <font>
      <sz val="11"/>
      <color theme="1"/>
      <name val="Calibri"/>
      <family val="2"/>
      <scheme val="minor"/>
    </font>
    <font>
      <sz val="11"/>
      <color indexed="8"/>
      <name val="Calibri"/>
      <family val="2"/>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tint="-0.14999847407452621"/>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2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44" fontId="0" fillId="0" borderId="0" xfId="0" applyNumberFormat="1"/>
    <xf numFmtId="0" fontId="0" fillId="0" borderId="0" xfId="0" pivotButton="1"/>
    <xf numFmtId="3" fontId="0" fillId="0" borderId="0" xfId="0" applyNumberFormat="1"/>
    <xf numFmtId="166" fontId="0" fillId="0" borderId="0" xfId="0" applyNumberFormat="1"/>
    <xf numFmtId="0" fontId="0" fillId="0" borderId="0" xfId="0" applyAlignment="1">
      <alignment horizontal="left"/>
    </xf>
    <xf numFmtId="0" fontId="0" fillId="0" borderId="0" xfId="0" applyAlignment="1">
      <alignment horizontal="left" indent="1"/>
    </xf>
    <xf numFmtId="167" fontId="0" fillId="0" borderId="0" xfId="0" applyNumberFormat="1"/>
    <xf numFmtId="0" fontId="3" fillId="0" borderId="0" xfId="0" applyFont="1"/>
    <xf numFmtId="44" fontId="1" fillId="0" borderId="0" xfId="1" applyFont="1" applyAlignment="1">
      <alignment vertical="center"/>
    </xf>
    <xf numFmtId="44" fontId="0" fillId="0" borderId="0" xfId="1" applyFont="1"/>
    <xf numFmtId="168" fontId="0" fillId="0" borderId="0" xfId="0" applyNumberFormat="1"/>
    <xf numFmtId="0" fontId="0" fillId="2" borderId="0" xfId="0" applyFill="1"/>
    <xf numFmtId="9" fontId="0" fillId="0" borderId="0" xfId="2" applyFont="1"/>
    <xf numFmtId="0" fontId="0" fillId="3" borderId="0" xfId="0" applyFill="1"/>
    <xf numFmtId="1" fontId="0" fillId="3" borderId="0" xfId="0" applyNumberFormat="1" applyFill="1"/>
    <xf numFmtId="0" fontId="0" fillId="4" borderId="0" xfId="0" applyFill="1"/>
  </cellXfs>
  <cellStyles count="3">
    <cellStyle name="Currency" xfId="1" builtinId="4"/>
    <cellStyle name="Normal" xfId="0" builtinId="0"/>
    <cellStyle name="Percent" xfId="2" builtinId="5"/>
  </cellStyles>
  <dxfs count="52">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border>
        <left style="thin">
          <color theme="2"/>
        </left>
        <right style="thin">
          <color theme="2"/>
        </right>
        <top style="thin">
          <color theme="2"/>
        </top>
        <bottom style="thin">
          <color theme="2"/>
        </bottom>
      </border>
    </dxf>
    <dxf>
      <font>
        <color theme="0"/>
      </font>
      <fill>
        <patternFill>
          <bgColor theme="4" tint="-0.24994659260841701"/>
        </patternFill>
      </fill>
      <border>
        <left style="thin">
          <color theme="2"/>
        </left>
        <right style="thin">
          <color theme="2"/>
        </right>
        <top style="thin">
          <color theme="2"/>
        </top>
        <bottom style="thin">
          <color theme="2"/>
        </bottom>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i val="0"/>
        <color theme="0"/>
        <name val="Calibri"/>
        <family val="2"/>
        <scheme val="minor"/>
      </font>
    </dxf>
    <dxf>
      <font>
        <b val="0"/>
        <i val="0"/>
        <sz val="11"/>
        <color theme="0"/>
        <name val="Calibri"/>
        <family val="2"/>
        <scheme val="minor"/>
      </font>
      <fill>
        <patternFill>
          <bgColor rgb="FF3C1464"/>
        </patternFill>
      </fill>
    </dxf>
    <dxf>
      <numFmt numFmtId="34" formatCode="_(&quot;$&quot;* #,##0.00_);_(&quot;$&quot;* \(#,##0.00\);_(&quot;$&quot;* &quot;-&quot;??_);_(@_)"/>
    </dxf>
    <dxf>
      <numFmt numFmtId="0" formatCode="General"/>
    </dxf>
    <dxf>
      <font>
        <b val="0"/>
        <i val="0"/>
        <strike val="0"/>
        <condense val="0"/>
        <extend val="0"/>
        <outline val="0"/>
        <shadow val="0"/>
        <u val="none"/>
        <vertAlign val="baseline"/>
        <sz val="11"/>
        <color theme="1"/>
        <name val="Calibri"/>
        <family val="2"/>
        <scheme val="minor"/>
      </font>
      <numFmt numFmtId="34" formatCode="_(&quot;$&quot;* #,##0.00_);_(&quot;$&quot;* \(#,##0.00\);_(&quot;$&quot;* &quot;-&quot;??_);_(@_)"/>
    </dxf>
    <dxf>
      <font>
        <b val="0"/>
        <i val="0"/>
        <strike val="0"/>
        <condense val="0"/>
        <extend val="0"/>
        <outline val="0"/>
        <shadow val="0"/>
        <u val="none"/>
        <vertAlign val="baseline"/>
        <sz val="11"/>
        <color theme="1"/>
        <name val="Calibri"/>
        <family val="2"/>
        <scheme val="minor"/>
      </font>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0" formatCode="General"/>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1"/>
        <color theme="0"/>
        <name val="Calibri"/>
        <family val="2"/>
        <scheme val="minor"/>
      </font>
    </dxf>
    <dxf>
      <font>
        <color theme="0"/>
      </font>
      <fill>
        <patternFill patternType="solid">
          <fgColor theme="0"/>
          <bgColor theme="4" tint="-0.24994659260841701"/>
        </patternFill>
      </fill>
      <border>
        <left style="thin">
          <color theme="2" tint="-9.9948118533890809E-2"/>
        </left>
        <right style="thin">
          <color theme="2" tint="-9.9948118533890809E-2"/>
        </right>
        <top style="thin">
          <color theme="2" tint="-9.9948118533890809E-2"/>
        </top>
        <bottom style="thin">
          <color theme="2" tint="-9.9948118533890809E-2"/>
        </bottom>
      </border>
    </dxf>
    <dxf>
      <font>
        <b/>
        <i val="0"/>
        <sz val="11"/>
        <color theme="0"/>
        <name val="Calibri"/>
        <family val="2"/>
        <scheme val="minor"/>
      </font>
    </dxf>
    <dxf>
      <font>
        <b val="0"/>
        <i val="0"/>
        <sz val="11"/>
        <color theme="0"/>
        <name val="Calibri"/>
        <family val="2"/>
        <scheme val="minor"/>
      </font>
      <fill>
        <patternFill patternType="solid">
          <fgColor theme="0"/>
          <bgColor rgb="FF3C1464"/>
        </patternFill>
      </fill>
      <border diagonalUp="0" diagonalDown="0">
        <left style="thin">
          <color rgb="FF3C1464"/>
        </left>
        <right style="thin">
          <color rgb="FF3C1464"/>
        </right>
        <top style="thin">
          <color rgb="FF3C1464"/>
        </top>
        <bottom style="thin">
          <color rgb="FF3C1464"/>
        </bottom>
        <vertical/>
        <horizontal/>
      </border>
    </dxf>
  </dxfs>
  <tableStyles count="4" defaultTableStyle="TableStyleMedium2" defaultPivotStyle="PivotStyleMedium9">
    <tableStyle name="Purple Slicer Style " pivot="0" table="0" count="6" xr9:uid="{5BDBC510-037C-4728-8969-AC471C0968CF}">
      <tableStyleElement type="wholeTable" dxfId="31"/>
      <tableStyleElement type="headerRow" dxfId="30"/>
    </tableStyle>
    <tableStyle name="Purple Timeline Style " pivot="0" table="0" count="8" xr9:uid="{B78751F0-5CE6-4CF3-AFE5-AF1966E15A2A}">
      <tableStyleElement type="wholeTable" dxfId="51"/>
      <tableStyleElement type="headerRow" dxfId="50"/>
    </tableStyle>
    <tableStyle name="Slicer Style 1" pivot="0" table="0" count="6" xr9:uid="{836897CD-265F-492F-B2E7-54736C19D514}">
      <tableStyleElement type="wholeTable" dxfId="11"/>
      <tableStyleElement type="headerRow" dxfId="10"/>
    </tableStyle>
    <tableStyle name="Timeline Style 1" pivot="0" table="0" count="8" xr9:uid="{57F9BC79-6CF4-49F8-A91A-6BF55F7512F9}">
      <tableStyleElement type="wholeTable" dxfId="49"/>
      <tableStyleElement type="headerRow" dxfId="48"/>
    </tableStyle>
  </tableStyles>
  <colors>
    <mruColors>
      <color rgb="FF3C1464"/>
      <color rgb="FFAB73E3"/>
      <color rgb="FFD1B2F0"/>
    </mruColors>
  </colors>
  <extLst>
    <ext xmlns:x14="http://schemas.microsoft.com/office/spreadsheetml/2009/9/main" uri="{46F421CA-312F-682f-3DD2-61675219B42D}">
      <x14:dxfs count="22">
        <dxf>
          <fill>
            <patternFill>
              <bgColor theme="2" tint="-9.9948118533890809E-2"/>
            </patternFill>
          </fill>
          <border>
            <left style="thin">
              <color theme="0"/>
            </left>
            <right style="thin">
              <color theme="0"/>
            </right>
            <top style="thin">
              <color theme="0"/>
            </top>
            <bottom style="thin">
              <color theme="0"/>
            </bottom>
          </border>
        </dxf>
        <dxf>
          <font>
            <strike val="0"/>
          </font>
        </dxf>
        <dxf>
          <font>
            <strike/>
          </font>
        </dxf>
        <dxf>
          <font>
            <strike/>
          </font>
        </dxf>
        <dxf>
          <border>
            <left style="thin">
              <color theme="0"/>
            </left>
            <right style="thin">
              <color theme="0"/>
            </right>
            <top style="thin">
              <color theme="0"/>
            </top>
            <bottom style="thin">
              <color theme="0"/>
            </bottom>
          </border>
        </dxf>
        <dxf>
          <font>
            <strike val="0"/>
          </font>
        </dxf>
        <dxf>
          <font>
            <strike/>
          </font>
        </dxf>
        <dxf>
          <font>
            <strike/>
          </font>
        </dxf>
        <dxf>
          <font>
            <strike/>
          </font>
        </dxf>
        <dxf>
          <font>
            <strike/>
          </font>
        </dxf>
        <dxf>
          <border>
            <left style="thin">
              <color theme="0"/>
            </left>
            <right style="thin">
              <color theme="0"/>
            </right>
            <top style="thin">
              <color theme="0"/>
            </top>
            <bottom style="thin">
              <color theme="0"/>
            </bottom>
          </border>
        </dxf>
        <dxf>
          <font>
            <strike val="0"/>
          </font>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font>
            <strike val="0"/>
          </font>
        </dxf>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name val="Calibri"/>
            <family val="2"/>
            <scheme val="minor"/>
          </font>
          <border>
            <left style="thin">
              <color theme="0"/>
            </left>
            <right style="thin">
              <color theme="0"/>
            </right>
            <top style="thin">
              <color theme="0"/>
            </top>
            <bottom style="thin">
              <color theme="0"/>
            </bottom>
          </border>
        </dxf>
        <dxf>
          <font>
            <b val="0"/>
            <i val="0"/>
            <strike/>
            <color theme="0" tint="-0.14996795556505021"/>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 Style 1">
        <x14:slicerStyle name="Purple Slicer Style ">
          <x14:slicerStyleElements>
            <x14:slicerStyleElement type="unselectedItemWithData" dxfId="15"/>
            <x14:slicerStyleElement type="unselectedItemWithNoData" dxfId="14"/>
            <x14:slicerStyleElement type="selectedItemWithData" dxfId="13"/>
            <x14:slicerStyleElement type="selectedItemWithNoData" dxfId="12"/>
          </x14:slicerStyleElements>
        </x14:slicerStyle>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0"/>
            </patternFill>
          </fill>
        </dxf>
        <dxf>
          <fill>
            <patternFill patternType="solid">
              <fgColor theme="0"/>
              <bgColor theme="4" tint="0.39994506668294322"/>
            </patternFill>
          </fill>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2"/>
            <name val="Calibri"/>
            <family val="2"/>
            <scheme val="minor"/>
          </font>
        </dxf>
        <dxf>
          <fill>
            <patternFill patternType="solid">
              <fgColor theme="0" tint="-0.14996795556505021"/>
              <bgColor theme="0" tint="-4.9989318521683403E-2"/>
            </patternFill>
          </fill>
        </dxf>
        <dxf>
          <fill>
            <patternFill patternType="solid">
              <fgColor theme="0"/>
              <bgColor rgb="FFAB73E3"/>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line Style 1">
        <x15:timelineStyle name="Purple Timeline Style ">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4.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1.xml"/><Relationship Id="rId28" Type="http://schemas.microsoft.com/office/2007/relationships/slicerCache" Target="slicerCaches/slicerCache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microsoft.com/office/2007/relationships/slicerCache" Target="slicerCaches/slicerCache5.xml"/><Relationship Id="rId30" Type="http://schemas.microsoft.com/office/2011/relationships/timelineCache" Target="timelineCaches/timelineCache2.xml"/><Relationship Id="rId35" Type="http://schemas.openxmlformats.org/officeDocument/2006/relationships/calcChain" Target="calcChain.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9.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0.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1.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2.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3.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5.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6.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[coffeeOrdersDataSDA.xlsx]TotalSales!TotalSales</c:name>
    <c:fmtId val="1"/>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2DA9-4F31-93CB-F6643338C671}"/>
            </c:ext>
          </c:extLst>
        </c:ser>
        <c:ser>
          <c:idx val="1"/>
          <c:order val="1"/>
          <c:tx>
            <c:strRef>
              <c:f>TotalSales!$D$3:$D$4</c:f>
              <c:strCache>
                <c:ptCount val="1"/>
                <c:pt idx="0">
                  <c:v>Execelsa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2DA9-4F31-93CB-F6643338C671}"/>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2DA9-4F31-93CB-F6643338C671}"/>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0-95FA-4F9A-B055-6726DBA5AAB0}"/>
            </c:ext>
          </c:extLst>
        </c:ser>
        <c:dLbls>
          <c:showLegendKey val="0"/>
          <c:showVal val="0"/>
          <c:showCatName val="0"/>
          <c:showSerName val="0"/>
          <c:showPercent val="0"/>
          <c:showBubbleSize val="0"/>
        </c:dLbls>
        <c:smooth val="0"/>
        <c:axId val="509892160"/>
        <c:axId val="422503392"/>
      </c:lineChart>
      <c:catAx>
        <c:axId val="5098921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422503392"/>
        <c:crosses val="autoZero"/>
        <c:auto val="1"/>
        <c:lblAlgn val="ctr"/>
        <c:lblOffset val="100"/>
        <c:noMultiLvlLbl val="0"/>
      </c:catAx>
      <c:valAx>
        <c:axId val="42250339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GH"/>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509892160"/>
        <c:crosses val="autoZero"/>
        <c:crossBetween val="between"/>
      </c:valAx>
      <c:spPr>
        <a:solidFill>
          <a:srgbClr val="D1B2F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[coffeeOrdersDataSDA.xlsx]CountryBarChart!TotalSales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GH"/>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DDC-4C66-A51E-C820334334C3}"/>
            </c:ext>
          </c:extLst>
        </c:ser>
        <c:dLbls>
          <c:dLblPos val="outEnd"/>
          <c:showLegendKey val="0"/>
          <c:showVal val="1"/>
          <c:showCatName val="0"/>
          <c:showSerName val="0"/>
          <c:showPercent val="0"/>
          <c:showBubbleSize val="0"/>
        </c:dLbls>
        <c:gapWidth val="182"/>
        <c:axId val="165396592"/>
        <c:axId val="165397072"/>
      </c:barChart>
      <c:catAx>
        <c:axId val="16539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7072"/>
        <c:crosses val="autoZero"/>
        <c:auto val="1"/>
        <c:lblAlgn val="ctr"/>
        <c:lblOffset val="100"/>
        <c:noMultiLvlLbl val="0"/>
      </c:catAx>
      <c:valAx>
        <c:axId val="165397072"/>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[coffeeOrdersDataSDA.xlsx]Top5Customers!TotalSales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GH"/>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E169-4663-A5B6-137A874939FF}"/>
            </c:ext>
          </c:extLst>
        </c:ser>
        <c:dLbls>
          <c:dLblPos val="outEnd"/>
          <c:showLegendKey val="0"/>
          <c:showVal val="1"/>
          <c:showCatName val="0"/>
          <c:showSerName val="0"/>
          <c:showPercent val="0"/>
          <c:showBubbleSize val="0"/>
        </c:dLbls>
        <c:gapWidth val="182"/>
        <c:axId val="165396592"/>
        <c:axId val="165397072"/>
      </c:barChart>
      <c:catAx>
        <c:axId val="16539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7072"/>
        <c:crosses val="autoZero"/>
        <c:auto val="1"/>
        <c:lblAlgn val="ctr"/>
        <c:lblOffset val="100"/>
        <c:noMultiLvlLbl val="0"/>
      </c:catAx>
      <c:valAx>
        <c:axId val="165397072"/>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[coffeeOrdersDataSDA.xlsx]ExecSalesByMonth!PivotTable2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Month</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ExecSalesByMonth!$B$3:$B$4</c:f>
              <c:strCache>
                <c:ptCount val="1"/>
                <c:pt idx="0">
                  <c:v>Arabica</c:v>
                </c:pt>
              </c:strCache>
            </c:strRef>
          </c:tx>
          <c:spPr>
            <a:ln w="28575" cap="rnd">
              <a:solidFill>
                <a:schemeClr val="accent1"/>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6FC-4946-9C09-EC130F0ABA7D}"/>
            </c:ext>
          </c:extLst>
        </c:ser>
        <c:ser>
          <c:idx val="1"/>
          <c:order val="1"/>
          <c:tx>
            <c:strRef>
              <c:f>ExecSalesByMonth!$C$3:$C$4</c:f>
              <c:strCache>
                <c:ptCount val="1"/>
                <c:pt idx="0">
                  <c:v>Execelsa</c:v>
                </c:pt>
              </c:strCache>
            </c:strRef>
          </c:tx>
          <c:spPr>
            <a:ln w="28575" cap="rnd">
              <a:solidFill>
                <a:schemeClr val="accent3"/>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D-EFF5-42DB-84A8-1AF097624B8F}"/>
            </c:ext>
          </c:extLst>
        </c:ser>
        <c:ser>
          <c:idx val="2"/>
          <c:order val="2"/>
          <c:tx>
            <c:strRef>
              <c:f>ExecSalesByMonth!$D$3:$D$4</c:f>
              <c:strCache>
                <c:ptCount val="1"/>
                <c:pt idx="0">
                  <c:v>Liberica</c:v>
                </c:pt>
              </c:strCache>
            </c:strRef>
          </c:tx>
          <c:spPr>
            <a:ln w="28575" cap="rnd">
              <a:solidFill>
                <a:schemeClr val="accent5"/>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E-EFF5-42DB-84A8-1AF097624B8F}"/>
            </c:ext>
          </c:extLst>
        </c:ser>
        <c:ser>
          <c:idx val="3"/>
          <c:order val="3"/>
          <c:tx>
            <c:strRef>
              <c:f>ExecSalesByMonth!$E$3:$E$4</c:f>
              <c:strCache>
                <c:ptCount val="1"/>
                <c:pt idx="0">
                  <c:v>Robusta</c:v>
                </c:pt>
              </c:strCache>
            </c:strRef>
          </c:tx>
          <c:spPr>
            <a:ln w="28575" cap="rnd">
              <a:solidFill>
                <a:schemeClr val="accent1">
                  <a:lumMod val="60000"/>
                </a:schemeClr>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F-EFF5-42DB-84A8-1AF097624B8F}"/>
            </c:ext>
          </c:extLst>
        </c:ser>
        <c:dLbls>
          <c:showLegendKey val="0"/>
          <c:showVal val="0"/>
          <c:showCatName val="0"/>
          <c:showSerName val="0"/>
          <c:showPercent val="0"/>
          <c:showBubbleSize val="0"/>
        </c:dLbls>
        <c:smooth val="0"/>
        <c:axId val="360265648"/>
        <c:axId val="360267088"/>
      </c:lineChart>
      <c:catAx>
        <c:axId val="36026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60267088"/>
        <c:crosses val="autoZero"/>
        <c:auto val="1"/>
        <c:lblAlgn val="ctr"/>
        <c:lblOffset val="100"/>
        <c:noMultiLvlLbl val="0"/>
      </c:catAx>
      <c:valAx>
        <c:axId val="36026708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6026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[coffeeOrdersDataSDA.xlsx]ExecSalesDistribution!PivotTable2</c:name>
    <c:fmtId val="3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Cofee Type</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ExecSalesDistribution!$B$3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ExecSalesDistribution!$A$4:$A$8</c:f>
              <c:strCache>
                <c:ptCount val="4"/>
                <c:pt idx="0">
                  <c:v>Robusta</c:v>
                </c:pt>
                <c:pt idx="1">
                  <c:v>Arabica</c:v>
                </c:pt>
                <c:pt idx="2">
                  <c:v>Liberica</c:v>
                </c:pt>
                <c:pt idx="3">
                  <c:v>Execelsa</c:v>
                </c:pt>
              </c:strCache>
            </c:strRef>
          </c:cat>
          <c:val>
            <c:numRef>
              <c:f>ExecSalesDistribution!$B$4:$B$8</c:f>
              <c:numCache>
                <c:formatCode>"$"#,##0</c:formatCode>
                <c:ptCount val="4"/>
                <c:pt idx="0">
                  <c:v>9005.2450000000099</c:v>
                </c:pt>
                <c:pt idx="1">
                  <c:v>11768.494999999997</c:v>
                </c:pt>
                <c:pt idx="2">
                  <c:v>12054.074999999995</c:v>
                </c:pt>
                <c:pt idx="3">
                  <c:v>12306.439999999995</c:v>
                </c:pt>
              </c:numCache>
            </c:numRef>
          </c:val>
          <c:extLst>
            <c:ext xmlns:c16="http://schemas.microsoft.com/office/drawing/2014/chart" uri="{C3380CC4-5D6E-409C-BE32-E72D297353CC}">
              <c16:uniqueId val="{00000000-ADEF-4717-944B-595F028DF39D}"/>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[coffeeOrdersDataSDA.xlsx]ManagerTopCountryBySale!PivotTable2</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Cofee Type</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ManagerTopCountryBySale!$B$3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ManagerTopCountryBySale!$A$4:$A$7</c:f>
              <c:strCache>
                <c:ptCount val="3"/>
                <c:pt idx="0">
                  <c:v>United Kingdom</c:v>
                </c:pt>
                <c:pt idx="1">
                  <c:v>Ireland</c:v>
                </c:pt>
                <c:pt idx="2">
                  <c:v>United States</c:v>
                </c:pt>
              </c:strCache>
            </c:strRef>
          </c:cat>
          <c:val>
            <c:numRef>
              <c:f>ManagerTopCountryBySale!$B$4:$B$7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BAF-4880-901F-42B716C12B00}"/>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[coffeeOrdersDataSDA.xlsx]ManagerSalesByLoyalty!PivotTable2</c:name>
    <c:fmtId val="4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Cofee Type</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ManagerSalesByLoyalty!$B$3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ManagerSalesByLoyalty!$A$4:$A$6</c:f>
              <c:strCache>
                <c:ptCount val="2"/>
                <c:pt idx="0">
                  <c:v>No</c:v>
                </c:pt>
                <c:pt idx="1">
                  <c:v>Yes</c:v>
                </c:pt>
              </c:strCache>
            </c:strRef>
          </c:cat>
          <c:val>
            <c:numRef>
              <c:f>ManagerSalesByLoyalty!$B$4:$B$6</c:f>
              <c:numCache>
                <c:formatCode>"$"#,##0</c:formatCode>
                <c:ptCount val="2"/>
                <c:pt idx="0">
                  <c:v>24216.404999999995</c:v>
                </c:pt>
                <c:pt idx="1">
                  <c:v>20917.849999999995</c:v>
                </c:pt>
              </c:numCache>
            </c:numRef>
          </c:val>
          <c:extLst>
            <c:ext xmlns:c16="http://schemas.microsoft.com/office/drawing/2014/chart" uri="{C3380CC4-5D6E-409C-BE32-E72D297353CC}">
              <c16:uniqueId val="{00000000-550A-4BC3-B202-DAACA5467C2B}"/>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[coffeeOrdersDataSDA.xlsx]ManagerTop5Products!PivotTable2</c:name>
    <c:fmtId val="4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Cofee Type</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ManagerTop5Products!$B$3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ManagerTop5Products!$A$4:$A$9</c:f>
              <c:strCache>
                <c:ptCount val="5"/>
                <c:pt idx="0">
                  <c:v>Liberica-Light-2.5</c:v>
                </c:pt>
                <c:pt idx="1">
                  <c:v>Liberica-Dark-2.5</c:v>
                </c:pt>
                <c:pt idx="2">
                  <c:v>Excelsa-Light-2.5</c:v>
                </c:pt>
                <c:pt idx="3">
                  <c:v>Arabica-Medium-2.5</c:v>
                </c:pt>
                <c:pt idx="4">
                  <c:v>Arabica-Light-2.5</c:v>
                </c:pt>
              </c:strCache>
            </c:strRef>
          </c:cat>
          <c:val>
            <c:numRef>
              <c:f>ManagerTop5Products!$B$4:$B$9</c:f>
              <c:numCache>
                <c:formatCode>"$"#,##0</c:formatCode>
                <c:ptCount val="5"/>
                <c:pt idx="0">
                  <c:v>2150.8449999999998</c:v>
                </c:pt>
                <c:pt idx="1">
                  <c:v>2442.3699999999994</c:v>
                </c:pt>
                <c:pt idx="2">
                  <c:v>2459.1599999999994</c:v>
                </c:pt>
                <c:pt idx="3">
                  <c:v>2509.8749999999995</c:v>
                </c:pt>
                <c:pt idx="4">
                  <c:v>2561.5099999999998</c:v>
                </c:pt>
              </c:numCache>
            </c:numRef>
          </c:val>
          <c:extLst>
            <c:ext xmlns:c16="http://schemas.microsoft.com/office/drawing/2014/chart" uri="{C3380CC4-5D6E-409C-BE32-E72D297353CC}">
              <c16:uniqueId val="{00000000-22F4-4CE3-932C-031C0EF77D2B}"/>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1"/>
        <c:axPos val="b"/>
        <c:numFmt formatCode="&quot;$&quot;#,##0" sourceLinked="1"/>
        <c:majorTickMark val="out"/>
        <c:minorTickMark val="none"/>
        <c:tickLblPos val="nextTo"/>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[coffeeOrdersDataSDA.xlsx]ManagerTrendArabica!PivotTable2</c:name>
    <c:fmtId val="5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Arabica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ManagerTrendArabica!$B$3:$B$4</c:f>
              <c:strCache>
                <c:ptCount val="1"/>
                <c:pt idx="0">
                  <c:v>Arabica</c:v>
                </c:pt>
              </c:strCache>
            </c:strRef>
          </c:tx>
          <c:spPr>
            <a:ln w="28575" cap="rnd">
              <a:solidFill>
                <a:schemeClr val="accent1"/>
              </a:solidFill>
              <a:round/>
            </a:ln>
            <a:effectLst/>
          </c:spPr>
          <c:marker>
            <c:symbol val="none"/>
          </c:marker>
          <c:cat>
            <c:multiLvlStrRef>
              <c:f>ManagerTrendArabica!$A$5:$A$53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ManagerTrendArabica!$B$5:$B$53</c:f>
              <c:numCache>
                <c:formatCode>"$"#,##0</c:formatCode>
                <c:ptCount val="44"/>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pt idx="12">
                  <c:v>47.25</c:v>
                </c:pt>
                <c:pt idx="13">
                  <c:v>745.45</c:v>
                </c:pt>
                <c:pt idx="14">
                  <c:v>130.47</c:v>
                </c:pt>
                <c:pt idx="15">
                  <c:v>27</c:v>
                </c:pt>
                <c:pt idx="16">
                  <c:v>255.11499999999995</c:v>
                </c:pt>
                <c:pt idx="17">
                  <c:v>584.79</c:v>
                </c:pt>
                <c:pt idx="18">
                  <c:v>430.61999999999995</c:v>
                </c:pt>
                <c:pt idx="19">
                  <c:v>22.5</c:v>
                </c:pt>
                <c:pt idx="20">
                  <c:v>126.14999999999999</c:v>
                </c:pt>
                <c:pt idx="21">
                  <c:v>376.03</c:v>
                </c:pt>
                <c:pt idx="22">
                  <c:v>515.17999999999995</c:v>
                </c:pt>
                <c:pt idx="23">
                  <c:v>95.86</c:v>
                </c:pt>
                <c:pt idx="24">
                  <c:v>258.34499999999997</c:v>
                </c:pt>
                <c:pt idx="25">
                  <c:v>342.19999999999993</c:v>
                </c:pt>
                <c:pt idx="26">
                  <c:v>418.30499999999995</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112.69499999999999</c:v>
                </c:pt>
                <c:pt idx="37">
                  <c:v>114.88</c:v>
                </c:pt>
                <c:pt idx="38">
                  <c:v>277.76</c:v>
                </c:pt>
                <c:pt idx="39">
                  <c:v>197.89500000000001</c:v>
                </c:pt>
                <c:pt idx="40">
                  <c:v>193.11500000000001</c:v>
                </c:pt>
                <c:pt idx="41">
                  <c:v>179.79</c:v>
                </c:pt>
                <c:pt idx="42">
                  <c:v>247.29</c:v>
                </c:pt>
                <c:pt idx="43">
                  <c:v>116.39499999999998</c:v>
                </c:pt>
              </c:numCache>
            </c:numRef>
          </c:val>
          <c:smooth val="0"/>
          <c:extLst>
            <c:ext xmlns:c16="http://schemas.microsoft.com/office/drawing/2014/chart" uri="{C3380CC4-5D6E-409C-BE32-E72D297353CC}">
              <c16:uniqueId val="{00000000-56CD-46F5-A227-13B075E809FD}"/>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[coffeeOrdersDataSDA.xlsx]ManagerTrendRobusta!PivotTable2</c:name>
    <c:fmtId val="5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Robusta</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ManagerTrendRobusta!$B$3:$B$4</c:f>
              <c:strCache>
                <c:ptCount val="1"/>
                <c:pt idx="0">
                  <c:v>Robusta</c:v>
                </c:pt>
              </c:strCache>
            </c:strRef>
          </c:tx>
          <c:spPr>
            <a:ln w="28575" cap="rnd">
              <a:solidFill>
                <a:schemeClr val="accent1"/>
              </a:solidFill>
              <a:round/>
            </a:ln>
            <a:effectLst/>
          </c:spPr>
          <c:marker>
            <c:symbol val="none"/>
          </c:marker>
          <c:cat>
            <c:multiLvlStrRef>
              <c:f>ManagerTrendRobusta!$A$5:$A$53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ManagerTrendRobusta!$B$5:$B$53</c:f>
              <c:numCache>
                <c:formatCode>"$"#,##0</c:formatCode>
                <c:ptCount val="44"/>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pt idx="12">
                  <c:v>179.21999999999997</c:v>
                </c:pt>
                <c:pt idx="13">
                  <c:v>429.83</c:v>
                </c:pt>
                <c:pt idx="14">
                  <c:v>231.63</c:v>
                </c:pt>
                <c:pt idx="15">
                  <c:v>240.04</c:v>
                </c:pt>
                <c:pt idx="16">
                  <c:v>59.079999999999991</c:v>
                </c:pt>
                <c:pt idx="17">
                  <c:v>140.88</c:v>
                </c:pt>
                <c:pt idx="18">
                  <c:v>414.58499999999998</c:v>
                </c:pt>
                <c:pt idx="19">
                  <c:v>139.67999999999998</c:v>
                </c:pt>
                <c:pt idx="20">
                  <c:v>302.65999999999997</c:v>
                </c:pt>
                <c:pt idx="21">
                  <c:v>174.46999999999997</c:v>
                </c:pt>
                <c:pt idx="22">
                  <c:v>104.08499999999999</c:v>
                </c:pt>
                <c:pt idx="23">
                  <c:v>77.10499999999999</c:v>
                </c:pt>
                <c:pt idx="24">
                  <c:v>160.19499999999999</c:v>
                </c:pt>
                <c:pt idx="25">
                  <c:v>80.55</c:v>
                </c:pt>
                <c:pt idx="26">
                  <c:v>253.15499999999997</c:v>
                </c:pt>
                <c:pt idx="27">
                  <c:v>106.23999999999998</c:v>
                </c:pt>
                <c:pt idx="28">
                  <c:v>272.68999999999994</c:v>
                </c:pt>
                <c:pt idx="29">
                  <c:v>88.334999999999994</c:v>
                </c:pt>
                <c:pt idx="30">
                  <c:v>199.48999999999998</c:v>
                </c:pt>
                <c:pt idx="31">
                  <c:v>374.13499999999993</c:v>
                </c:pt>
                <c:pt idx="32">
                  <c:v>221.43999999999994</c:v>
                </c:pt>
                <c:pt idx="33">
                  <c:v>256.36500000000001</c:v>
                </c:pt>
                <c:pt idx="34">
                  <c:v>189.47499999999999</c:v>
                </c:pt>
                <c:pt idx="35">
                  <c:v>212.07499999999999</c:v>
                </c:pt>
                <c:pt idx="36">
                  <c:v>146.685</c:v>
                </c:pt>
                <c:pt idx="37">
                  <c:v>53.759999999999991</c:v>
                </c:pt>
                <c:pt idx="38">
                  <c:v>399.52499999999992</c:v>
                </c:pt>
                <c:pt idx="39">
                  <c:v>200.25499999999997</c:v>
                </c:pt>
                <c:pt idx="40">
                  <c:v>304.46999999999997</c:v>
                </c:pt>
                <c:pt idx="41">
                  <c:v>379.31</c:v>
                </c:pt>
                <c:pt idx="42">
                  <c:v>141.69999999999999</c:v>
                </c:pt>
                <c:pt idx="43">
                  <c:v>71.059999999999988</c:v>
                </c:pt>
              </c:numCache>
            </c:numRef>
          </c:val>
          <c:smooth val="0"/>
          <c:extLst>
            <c:ext xmlns:c16="http://schemas.microsoft.com/office/drawing/2014/chart" uri="{C3380CC4-5D6E-409C-BE32-E72D297353CC}">
              <c16:uniqueId val="{00000000-BC6B-41A1-8F18-2A7643D41D85}"/>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[coffeeOrdersDataSDA.xlsx]ManagerTrendLiberica!PivotTable2</c:name>
    <c:fmtId val="5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Liberica</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ManagerTrendLiberica!$B$3:$B$4</c:f>
              <c:strCache>
                <c:ptCount val="1"/>
                <c:pt idx="0">
                  <c:v>Liberica</c:v>
                </c:pt>
              </c:strCache>
            </c:strRef>
          </c:tx>
          <c:spPr>
            <a:ln w="28575" cap="rnd">
              <a:solidFill>
                <a:schemeClr val="accent1"/>
              </a:solidFill>
              <a:round/>
            </a:ln>
            <a:effectLst/>
          </c:spPr>
          <c:marker>
            <c:symbol val="none"/>
          </c:marker>
          <c:cat>
            <c:multiLvlStrRef>
              <c:f>ManagerTrendLiberica!$A$5:$A$53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ManagerTrendLiberica!$B$5:$B$53</c:f>
              <c:numCache>
                <c:formatCode>"$"#,##0</c:formatCode>
                <c:ptCount val="44"/>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187.06</c:v>
                </c:pt>
                <c:pt idx="12">
                  <c:v>274.67500000000001</c:v>
                </c:pt>
                <c:pt idx="13">
                  <c:v>194.17499999999998</c:v>
                </c:pt>
                <c:pt idx="14">
                  <c:v>281.20499999999998</c:v>
                </c:pt>
                <c:pt idx="15">
                  <c:v>147.51000000000002</c:v>
                </c:pt>
                <c:pt idx="16">
                  <c:v>83.429999999999993</c:v>
                </c:pt>
                <c:pt idx="17">
                  <c:v>355.33999999999992</c:v>
                </c:pt>
                <c:pt idx="18">
                  <c:v>236.315</c:v>
                </c:pt>
                <c:pt idx="19">
                  <c:v>60.5</c:v>
                </c:pt>
                <c:pt idx="20">
                  <c:v>89.13</c:v>
                </c:pt>
                <c:pt idx="21">
                  <c:v>440.96499999999992</c:v>
                </c:pt>
                <c:pt idx="22">
                  <c:v>347.03999999999996</c:v>
                </c:pt>
                <c:pt idx="23">
                  <c:v>94.17</c:v>
                </c:pt>
                <c:pt idx="24">
                  <c:v>279.52</c:v>
                </c:pt>
                <c:pt idx="25">
                  <c:v>251.83</c:v>
                </c:pt>
                <c:pt idx="26">
                  <c:v>405.05500000000001</c:v>
                </c:pt>
                <c:pt idx="27">
                  <c:v>554.875</c:v>
                </c:pt>
                <c:pt idx="28">
                  <c:v>267.2</c:v>
                </c:pt>
                <c:pt idx="29">
                  <c:v>209.59999999999997</c:v>
                </c:pt>
                <c:pt idx="30">
                  <c:v>61.034999999999997</c:v>
                </c:pt>
                <c:pt idx="31">
                  <c:v>125.58</c:v>
                </c:pt>
                <c:pt idx="32">
                  <c:v>171.33</c:v>
                </c:pt>
                <c:pt idx="33">
                  <c:v>584.64</c:v>
                </c:pt>
                <c:pt idx="34">
                  <c:v>537.81000000000006</c:v>
                </c:pt>
                <c:pt idx="35">
                  <c:v>388.22</c:v>
                </c:pt>
                <c:pt idx="36">
                  <c:v>843.7149999999998</c:v>
                </c:pt>
                <c:pt idx="37">
                  <c:v>91.175000000000011</c:v>
                </c:pt>
                <c:pt idx="38">
                  <c:v>462.50999999999993</c:v>
                </c:pt>
                <c:pt idx="39">
                  <c:v>88.545000000000002</c:v>
                </c:pt>
                <c:pt idx="40">
                  <c:v>292.28999999999996</c:v>
                </c:pt>
                <c:pt idx="41">
                  <c:v>170.08999999999997</c:v>
                </c:pt>
                <c:pt idx="42">
                  <c:v>271.05500000000001</c:v>
                </c:pt>
                <c:pt idx="43">
                  <c:v>15.54</c:v>
                </c:pt>
              </c:numCache>
            </c:numRef>
          </c:val>
          <c:smooth val="0"/>
          <c:extLst>
            <c:ext xmlns:c16="http://schemas.microsoft.com/office/drawing/2014/chart" uri="{C3380CC4-5D6E-409C-BE32-E72D297353CC}">
              <c16:uniqueId val="{00000000-4098-45FC-B2D0-FAE67DEE0003}"/>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[coffeeOrdersDataSDA.xlsx]ManagerTrendExecelsa!PivotTable2</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Execelsa</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ManagerTrendExecelsa!$B$3:$B$4</c:f>
              <c:strCache>
                <c:ptCount val="1"/>
                <c:pt idx="0">
                  <c:v>Execelsa</c:v>
                </c:pt>
              </c:strCache>
            </c:strRef>
          </c:tx>
          <c:spPr>
            <a:ln w="28575" cap="rnd">
              <a:solidFill>
                <a:schemeClr val="accent1"/>
              </a:solidFill>
              <a:round/>
            </a:ln>
            <a:effectLst/>
          </c:spPr>
          <c:marker>
            <c:symbol val="none"/>
          </c:marker>
          <c:cat>
            <c:multiLvlStrRef>
              <c:f>ManagerTrendExecelsa!$A$5:$A$53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ManagerTrendExecelsa!$B$5:$B$53</c:f>
              <c:numCache>
                <c:formatCode>"$"#,##0</c:formatCode>
                <c:ptCount val="44"/>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357.42999999999989</c:v>
                </c:pt>
                <c:pt idx="18">
                  <c:v>227.42500000000001</c:v>
                </c:pt>
                <c:pt idx="19">
                  <c:v>77.72</c:v>
                </c:pt>
                <c:pt idx="20">
                  <c:v>195.11</c:v>
                </c:pt>
                <c:pt idx="21">
                  <c:v>523.2399999999999</c:v>
                </c:pt>
                <c:pt idx="22">
                  <c:v>142.56</c:v>
                </c:pt>
                <c:pt idx="23">
                  <c:v>484.76</c:v>
                </c:pt>
                <c:pt idx="24">
                  <c:v>139.625</c:v>
                </c:pt>
                <c:pt idx="25">
                  <c:v>284.25</c:v>
                </c:pt>
                <c:pt idx="26">
                  <c:v>468.125</c:v>
                </c:pt>
                <c:pt idx="27">
                  <c:v>242.14</c:v>
                </c:pt>
                <c:pt idx="28">
                  <c:v>133.08000000000001</c:v>
                </c:pt>
                <c:pt idx="29">
                  <c:v>136.20499999999998</c:v>
                </c:pt>
                <c:pt idx="30">
                  <c:v>393.57499999999999</c:v>
                </c:pt>
                <c:pt idx="31">
                  <c:v>288.66999999999996</c:v>
                </c:pt>
                <c:pt idx="32">
                  <c:v>409.875</c:v>
                </c:pt>
                <c:pt idx="33">
                  <c:v>260.32499999999999</c:v>
                </c:pt>
                <c:pt idx="34">
                  <c:v>565.56999999999994</c:v>
                </c:pt>
                <c:pt idx="35">
                  <c:v>148.20000000000002</c:v>
                </c:pt>
                <c:pt idx="36">
                  <c:v>166.32</c:v>
                </c:pt>
                <c:pt idx="37">
                  <c:v>133.815</c:v>
                </c:pt>
                <c:pt idx="38">
                  <c:v>175.40999999999997</c:v>
                </c:pt>
                <c:pt idx="39">
                  <c:v>289.75499999999994</c:v>
                </c:pt>
                <c:pt idx="40">
                  <c:v>212.49499999999998</c:v>
                </c:pt>
                <c:pt idx="41">
                  <c:v>426.19999999999993</c:v>
                </c:pt>
                <c:pt idx="42">
                  <c:v>246.685</c:v>
                </c:pt>
                <c:pt idx="43">
                  <c:v>41.25</c:v>
                </c:pt>
              </c:numCache>
            </c:numRef>
          </c:val>
          <c:smooth val="0"/>
          <c:extLst>
            <c:ext xmlns:c16="http://schemas.microsoft.com/office/drawing/2014/chart" uri="{C3380CC4-5D6E-409C-BE32-E72D297353CC}">
              <c16:uniqueId val="{00000000-DF80-4CFE-B118-FA3EDC1E6C0D}"/>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[coffeeOrdersDataSDA.xlsx]ManagerSaleProfit!PivotTable2</c:name>
    <c:fmtId val="5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and Profit by Coffee Types</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ManagerSaleProfit!$B$3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ManagerSaleProfit!$A$4:$A$7</c:f>
              <c:strCache>
                <c:ptCount val="4"/>
                <c:pt idx="0">
                  <c:v>Arabica</c:v>
                </c:pt>
                <c:pt idx="1">
                  <c:v>Execelsa</c:v>
                </c:pt>
                <c:pt idx="2">
                  <c:v>Liberica</c:v>
                </c:pt>
                <c:pt idx="3">
                  <c:v>Robusta</c:v>
                </c:pt>
              </c:strCache>
            </c:strRef>
          </c:cat>
          <c:val>
            <c:numRef>
              <c:f>ManagerSaleProfit!$B$4:$B$7</c:f>
              <c:numCache>
                <c:formatCode>_("$"* #,##0.00_);_("$"* \(#,##0.00\);_("$"* "-"??_);_(@_)</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3-EB22-4E0B-916F-2E79833582D1}"/>
            </c:ext>
          </c:extLst>
        </c:ser>
        <c:ser>
          <c:idx val="1"/>
          <c:order val="1"/>
          <c:tx>
            <c:strRef>
              <c:f>ManagerSaleProfit!$C$3</c:f>
              <c:strCache>
                <c:ptCount val="1"/>
                <c:pt idx="0">
                  <c:v>Sum of Product Profit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ManagerSaleProfit!$A$4:$A$7</c:f>
              <c:strCache>
                <c:ptCount val="4"/>
                <c:pt idx="0">
                  <c:v>Arabica</c:v>
                </c:pt>
                <c:pt idx="1">
                  <c:v>Execelsa</c:v>
                </c:pt>
                <c:pt idx="2">
                  <c:v>Liberica</c:v>
                </c:pt>
                <c:pt idx="3">
                  <c:v>Robusta</c:v>
                </c:pt>
              </c:strCache>
            </c:strRef>
          </c:cat>
          <c:val>
            <c:numRef>
              <c:f>ManagerSaleProfit!$C$4:$C$7</c:f>
              <c:numCache>
                <c:formatCode>_("$"* #,##0.00_);_("$"* \(#,##0.00\);_("$"* "-"??_);_(@_)</c:formatCode>
                <c:ptCount val="4"/>
                <c:pt idx="0">
                  <c:v>1059.16455</c:v>
                </c:pt>
                <c:pt idx="1">
                  <c:v>1353.7083999999991</c:v>
                </c:pt>
                <c:pt idx="2">
                  <c:v>1567.0297500000017</c:v>
                </c:pt>
                <c:pt idx="3">
                  <c:v>540.31470000000047</c:v>
                </c:pt>
              </c:numCache>
            </c:numRef>
          </c:val>
          <c:extLst>
            <c:ext xmlns:c16="http://schemas.microsoft.com/office/drawing/2014/chart" uri="{C3380CC4-5D6E-409C-BE32-E72D297353CC}">
              <c16:uniqueId val="{00000004-EB22-4E0B-916F-2E79833582D1}"/>
            </c:ext>
          </c:extLst>
        </c:ser>
        <c:dLbls>
          <c:dLblPos val="outEnd"/>
          <c:showLegendKey val="0"/>
          <c:showVal val="1"/>
          <c:showCatName val="0"/>
          <c:showSerName val="0"/>
          <c:showPercent val="0"/>
          <c:showBubbleSize val="0"/>
        </c:dLbls>
        <c:gapWidth val="150"/>
        <c:axId val="1790066704"/>
        <c:axId val="1790067664"/>
      </c:bar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1"/>
        <c:axPos val="l"/>
        <c:numFmt formatCode="_(&quot;$&quot;* #,##0.00_);_(&quot;$&quot;* \(#,##0.00\);_(&quot;$&quot;* &quot;-&quot;??_);_(@_)" sourceLinked="1"/>
        <c:majorTickMark val="out"/>
        <c:minorTickMark val="none"/>
        <c:tickLblPos val="nextTo"/>
        <c:crossAx val="179006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[coffeeOrdersDataSDA.xlsx]TotalSales!TotalSales</c:name>
    <c:fmtId val="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a:t>
            </a:r>
            <a:r>
              <a:rPr lang="en-US" baseline="0"/>
              <a:t>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FEC-493C-932B-ABAD003F3CF4}"/>
            </c:ext>
          </c:extLst>
        </c:ser>
        <c:ser>
          <c:idx val="1"/>
          <c:order val="1"/>
          <c:tx>
            <c:strRef>
              <c:f>TotalSales!$D$3:$D$4</c:f>
              <c:strCache>
                <c:ptCount val="1"/>
                <c:pt idx="0">
                  <c:v>Execelsa</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FEC-493C-932B-ABAD003F3CF4}"/>
            </c:ext>
          </c:extLst>
        </c:ser>
        <c:ser>
          <c:idx val="2"/>
          <c:order val="2"/>
          <c:tx>
            <c:strRef>
              <c:f>TotalSales!$E$3:$E$4</c:f>
              <c:strCache>
                <c:ptCount val="1"/>
                <c:pt idx="0">
                  <c:v>Liberica</c:v>
                </c:pt>
              </c:strCache>
            </c:strRef>
          </c:tx>
          <c:spPr>
            <a:ln w="28575" cap="rnd">
              <a:solidFill>
                <a:schemeClr val="accent3"/>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FEC-493C-932B-ABAD003F3CF4}"/>
            </c:ext>
          </c:extLst>
        </c:ser>
        <c:ser>
          <c:idx val="3"/>
          <c:order val="3"/>
          <c:tx>
            <c:strRef>
              <c:f>TotalSales!$F$3:$F$4</c:f>
              <c:strCache>
                <c:ptCount val="1"/>
                <c:pt idx="0">
                  <c:v>Robusta</c:v>
                </c:pt>
              </c:strCache>
            </c:strRef>
          </c:tx>
          <c:spPr>
            <a:ln w="28575" cap="rnd">
              <a:solidFill>
                <a:schemeClr val="accent4"/>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DE57-49B4-B777-C863FE77CF1C}"/>
            </c:ext>
          </c:extLst>
        </c:ser>
        <c:dLbls>
          <c:showLegendKey val="0"/>
          <c:showVal val="0"/>
          <c:showCatName val="0"/>
          <c:showSerName val="0"/>
          <c:showPercent val="0"/>
          <c:showBubbleSize val="0"/>
        </c:dLbls>
        <c:smooth val="0"/>
        <c:axId val="509892160"/>
        <c:axId val="422503392"/>
      </c:lineChart>
      <c:catAx>
        <c:axId val="509892160"/>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422503392"/>
        <c:crosses val="autoZero"/>
        <c:auto val="1"/>
        <c:lblAlgn val="ctr"/>
        <c:lblOffset val="100"/>
        <c:noMultiLvlLbl val="0"/>
      </c:catAx>
      <c:valAx>
        <c:axId val="422503392"/>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GH"/>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509892160"/>
        <c:crosses val="autoZero"/>
        <c:crossBetween val="between"/>
      </c:valAx>
      <c:spPr>
        <a:solidFill>
          <a:srgbClr val="D1B2F0"/>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[coffeeOrdersDataSDA.xlsx]CountryBarChart!TotalSales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GH"/>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75451135939679"/>
          <c:y val="0.13633800731369369"/>
          <c:w val="0.8007940777976319"/>
          <c:h val="0.76575713066779905"/>
        </c:manualLayout>
      </c:layout>
      <c:barChart>
        <c:barDir val="bar"/>
        <c:grouping val="clustered"/>
        <c:varyColors val="0"/>
        <c:ser>
          <c:idx val="0"/>
          <c:order val="0"/>
          <c:tx>
            <c:strRef>
              <c:f>CountryBarChart!$B$3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64F-4C28-B910-768609A0353D}"/>
            </c:ext>
          </c:extLst>
        </c:ser>
        <c:dLbls>
          <c:dLblPos val="outEnd"/>
          <c:showLegendKey val="0"/>
          <c:showVal val="1"/>
          <c:showCatName val="0"/>
          <c:showSerName val="0"/>
          <c:showPercent val="0"/>
          <c:showBubbleSize val="0"/>
        </c:dLbls>
        <c:gapWidth val="182"/>
        <c:axId val="165396592"/>
        <c:axId val="165397072"/>
      </c:barChart>
      <c:catAx>
        <c:axId val="16539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7072"/>
        <c:crosses val="autoZero"/>
        <c:auto val="1"/>
        <c:lblAlgn val="ctr"/>
        <c:lblOffset val="100"/>
        <c:noMultiLvlLbl val="0"/>
      </c:catAx>
      <c:valAx>
        <c:axId val="165397072"/>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[coffeeOrdersDataSDA.xlsx]Top5Customers!TotalSales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GH"/>
        </a:p>
      </c:txPr>
    </c:title>
    <c:autoTitleDeleted val="0"/>
    <c:pivotFmts>
      <c:pivotFmt>
        <c:idx val="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D74-45CF-92E8-BED555742A42}"/>
            </c:ext>
          </c:extLst>
        </c:ser>
        <c:dLbls>
          <c:dLblPos val="outEnd"/>
          <c:showLegendKey val="0"/>
          <c:showVal val="1"/>
          <c:showCatName val="0"/>
          <c:showSerName val="0"/>
          <c:showPercent val="0"/>
          <c:showBubbleSize val="0"/>
        </c:dLbls>
        <c:gapWidth val="182"/>
        <c:axId val="165396592"/>
        <c:axId val="165397072"/>
      </c:barChart>
      <c:catAx>
        <c:axId val="1653965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7072"/>
        <c:crosses val="autoZero"/>
        <c:auto val="1"/>
        <c:lblAlgn val="ctr"/>
        <c:lblOffset val="100"/>
        <c:noMultiLvlLbl val="0"/>
      </c:catAx>
      <c:valAx>
        <c:axId val="165397072"/>
        <c:scaling>
          <c:orientation val="minMax"/>
        </c:scaling>
        <c:delete val="0"/>
        <c:axPos val="b"/>
        <c:majorGridlines>
          <c:spPr>
            <a:ln w="9525" cap="flat" cmpd="sng" algn="ctr">
              <a:no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GH"/>
          </a:p>
        </c:txPr>
        <c:crossAx val="16539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[coffeeOrdersDataSDA.xlsx]ExecSalesByMonth!PivotTable2</c:name>
    <c:fmtId val="3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a:t>
            </a:r>
            <a:r>
              <a:rPr lang="en-US" b="1" baseline="0"/>
              <a:t> By Month</a:t>
            </a:r>
            <a:endParaRPr lang="en-GH"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ExecSalesByMonth!$B$3:$B$4</c:f>
              <c:strCache>
                <c:ptCount val="1"/>
                <c:pt idx="0">
                  <c:v>Arabica</c:v>
                </c:pt>
              </c:strCache>
            </c:strRef>
          </c:tx>
          <c:spPr>
            <a:ln w="28575" cap="rnd">
              <a:solidFill>
                <a:schemeClr val="accent1"/>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ExecSalesByMonth!$B$5:$B$53</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96D-4B28-9E4B-D067B24C8618}"/>
            </c:ext>
          </c:extLst>
        </c:ser>
        <c:ser>
          <c:idx val="1"/>
          <c:order val="1"/>
          <c:tx>
            <c:strRef>
              <c:f>ExecSalesByMonth!$C$3:$C$4</c:f>
              <c:strCache>
                <c:ptCount val="1"/>
                <c:pt idx="0">
                  <c:v>Execelsa</c:v>
                </c:pt>
              </c:strCache>
            </c:strRef>
          </c:tx>
          <c:spPr>
            <a:ln w="28575" cap="rnd">
              <a:solidFill>
                <a:schemeClr val="accent3"/>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ExecSalesByMonth!$C$5:$C$53</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C-A7EF-4BF3-B244-713BF79F29C9}"/>
            </c:ext>
          </c:extLst>
        </c:ser>
        <c:ser>
          <c:idx val="2"/>
          <c:order val="2"/>
          <c:tx>
            <c:strRef>
              <c:f>ExecSalesByMonth!$D$3:$D$4</c:f>
              <c:strCache>
                <c:ptCount val="1"/>
                <c:pt idx="0">
                  <c:v>Liberica</c:v>
                </c:pt>
              </c:strCache>
            </c:strRef>
          </c:tx>
          <c:spPr>
            <a:ln w="28575" cap="rnd">
              <a:solidFill>
                <a:schemeClr val="accent5"/>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ExecSalesByMonth!$D$5:$D$53</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D-A7EF-4BF3-B244-713BF79F29C9}"/>
            </c:ext>
          </c:extLst>
        </c:ser>
        <c:ser>
          <c:idx val="3"/>
          <c:order val="3"/>
          <c:tx>
            <c:strRef>
              <c:f>ExecSalesByMonth!$E$3:$E$4</c:f>
              <c:strCache>
                <c:ptCount val="1"/>
                <c:pt idx="0">
                  <c:v>Robusta</c:v>
                </c:pt>
              </c:strCache>
            </c:strRef>
          </c:tx>
          <c:spPr>
            <a:ln w="28575" cap="rnd">
              <a:solidFill>
                <a:schemeClr val="accent1">
                  <a:lumMod val="60000"/>
                </a:schemeClr>
              </a:solidFill>
              <a:round/>
            </a:ln>
            <a:effectLst/>
          </c:spPr>
          <c:marker>
            <c:symbol val="none"/>
          </c:marker>
          <c:cat>
            <c:multiLvlStrRef>
              <c:f>ExecSalesByMonth!$A$5:$A$53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ExecSalesByMonth!$E$5:$E$53</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E-A7EF-4BF3-B244-713BF79F29C9}"/>
            </c:ext>
          </c:extLst>
        </c:ser>
        <c:dLbls>
          <c:showLegendKey val="0"/>
          <c:showVal val="0"/>
          <c:showCatName val="0"/>
          <c:showSerName val="0"/>
          <c:showPercent val="0"/>
          <c:showBubbleSize val="0"/>
        </c:dLbls>
        <c:smooth val="0"/>
        <c:axId val="360265648"/>
        <c:axId val="360267088"/>
      </c:lineChart>
      <c:catAx>
        <c:axId val="360265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60267088"/>
        <c:crosses val="autoZero"/>
        <c:auto val="1"/>
        <c:lblAlgn val="ctr"/>
        <c:lblOffset val="100"/>
        <c:noMultiLvlLbl val="0"/>
      </c:catAx>
      <c:valAx>
        <c:axId val="360267088"/>
        <c:scaling>
          <c:orientation val="minMax"/>
        </c:scaling>
        <c:delete val="0"/>
        <c:axPos val="l"/>
        <c:majorGridlines>
          <c:spPr>
            <a:ln w="9525" cap="flat" cmpd="sng" algn="ctr">
              <a:no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H"/>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360265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[coffeeOrdersDataSDA.xlsx]ExecSalesDistribution!PivotTable2</c:name>
    <c:fmtId val="4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a:t>
            </a:r>
            <a:r>
              <a:rPr lang="en-US" b="1" baseline="0"/>
              <a:t> Distribution by Cofee Type</a:t>
            </a:r>
            <a:endParaRPr lang="en-GH"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ExecSalesDistribution!$B$3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ExecSalesDistribution!$A$4:$A$8</c:f>
              <c:strCache>
                <c:ptCount val="4"/>
                <c:pt idx="0">
                  <c:v>Robusta</c:v>
                </c:pt>
                <c:pt idx="1">
                  <c:v>Arabica</c:v>
                </c:pt>
                <c:pt idx="2">
                  <c:v>Liberica</c:v>
                </c:pt>
                <c:pt idx="3">
                  <c:v>Execelsa</c:v>
                </c:pt>
              </c:strCache>
            </c:strRef>
          </c:cat>
          <c:val>
            <c:numRef>
              <c:f>ExecSalesDistribution!$B$4:$B$8</c:f>
              <c:numCache>
                <c:formatCode>"$"#,##0</c:formatCode>
                <c:ptCount val="4"/>
                <c:pt idx="0">
                  <c:v>9005.2450000000099</c:v>
                </c:pt>
                <c:pt idx="1">
                  <c:v>11768.494999999997</c:v>
                </c:pt>
                <c:pt idx="2">
                  <c:v>12054.074999999995</c:v>
                </c:pt>
                <c:pt idx="3">
                  <c:v>12306.439999999995</c:v>
                </c:pt>
              </c:numCache>
            </c:numRef>
          </c:val>
          <c:extLst>
            <c:ext xmlns:c16="http://schemas.microsoft.com/office/drawing/2014/chart" uri="{C3380CC4-5D6E-409C-BE32-E72D297353CC}">
              <c16:uniqueId val="{00000000-6A78-4450-90AD-A2B6B5B5F5C0}"/>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[coffeeOrdersDataSDA.xlsx]ManagerSaleProfit!PivotTable2</c:name>
    <c:fmtId val="6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and Profit by Coffee Types</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dLbl>
          <c:idx val="0"/>
          <c:layout>
            <c:manualLayout>
              <c:x val="2.6881714740133168E-2"/>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dLbl>
          <c:idx val="0"/>
          <c:layout>
            <c:manualLayout>
              <c:x val="2.4193543266119874E-2"/>
              <c:y val="-9.2533050440117827E-1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dLbl>
          <c:idx val="0"/>
          <c:layout>
            <c:manualLayout>
              <c:x val="3.2258057688159834E-2"/>
              <c:y val="-9.2533050440117827E-1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dLbl>
          <c:idx val="0"/>
          <c:layout>
            <c:manualLayout>
              <c:x val="1.6129028844079917E-2"/>
              <c:y val="0"/>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ManagerSaleProfit!$B$3</c:f>
              <c:strCache>
                <c:ptCount val="1"/>
                <c:pt idx="0">
                  <c:v>Sum of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ManagerSaleProfit!$A$4:$A$7</c:f>
              <c:strCache>
                <c:ptCount val="4"/>
                <c:pt idx="0">
                  <c:v>Arabica</c:v>
                </c:pt>
                <c:pt idx="1">
                  <c:v>Execelsa</c:v>
                </c:pt>
                <c:pt idx="2">
                  <c:v>Liberica</c:v>
                </c:pt>
                <c:pt idx="3">
                  <c:v>Robusta</c:v>
                </c:pt>
              </c:strCache>
            </c:strRef>
          </c:cat>
          <c:val>
            <c:numRef>
              <c:f>ManagerSaleProfit!$B$4:$B$7</c:f>
              <c:numCache>
                <c:formatCode>_("$"* #,##0.00_);_("$"* \(#,##0.00\);_("$"* "-"??_);_(@_)</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0-AF5F-47ED-B93F-F02626121040}"/>
            </c:ext>
          </c:extLst>
        </c:ser>
        <c:ser>
          <c:idx val="1"/>
          <c:order val="1"/>
          <c:tx>
            <c:strRef>
              <c:f>ManagerSaleProfit!$C$3</c:f>
              <c:strCache>
                <c:ptCount val="1"/>
                <c:pt idx="0">
                  <c:v>Sum of Product Profit</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0-5446-4050-8FD1-F2ED6CB8F7CD}"/>
              </c:ext>
            </c:extLst>
          </c:dPt>
          <c:dPt>
            <c:idx val="1"/>
            <c:invertIfNegative val="0"/>
            <c:bubble3D val="0"/>
            <c:extLst>
              <c:ext xmlns:c16="http://schemas.microsoft.com/office/drawing/2014/chart" uri="{C3380CC4-5D6E-409C-BE32-E72D297353CC}">
                <c16:uniqueId val="{00000001-5446-4050-8FD1-F2ED6CB8F7CD}"/>
              </c:ext>
            </c:extLst>
          </c:dPt>
          <c:dPt>
            <c:idx val="2"/>
            <c:invertIfNegative val="0"/>
            <c:bubble3D val="0"/>
            <c:extLst>
              <c:ext xmlns:c16="http://schemas.microsoft.com/office/drawing/2014/chart" uri="{C3380CC4-5D6E-409C-BE32-E72D297353CC}">
                <c16:uniqueId val="{00000002-5446-4050-8FD1-F2ED6CB8F7CD}"/>
              </c:ext>
            </c:extLst>
          </c:dPt>
          <c:dPt>
            <c:idx val="3"/>
            <c:invertIfNegative val="0"/>
            <c:bubble3D val="0"/>
            <c:extLst>
              <c:ext xmlns:c16="http://schemas.microsoft.com/office/drawing/2014/chart" uri="{C3380CC4-5D6E-409C-BE32-E72D297353CC}">
                <c16:uniqueId val="{00000003-5446-4050-8FD1-F2ED6CB8F7CD}"/>
              </c:ext>
            </c:extLst>
          </c:dPt>
          <c:dLbls>
            <c:dLbl>
              <c:idx val="0"/>
              <c:layout>
                <c:manualLayout>
                  <c:x val="2.6881714740133168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5446-4050-8FD1-F2ED6CB8F7CD}"/>
                </c:ext>
              </c:extLst>
            </c:dLbl>
            <c:dLbl>
              <c:idx val="1"/>
              <c:layout>
                <c:manualLayout>
                  <c:x val="2.4193543266119874E-2"/>
                  <c:y val="-9.2533050440117827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446-4050-8FD1-F2ED6CB8F7CD}"/>
                </c:ext>
              </c:extLst>
            </c:dLbl>
            <c:dLbl>
              <c:idx val="2"/>
              <c:layout>
                <c:manualLayout>
                  <c:x val="3.2258057688159834E-2"/>
                  <c:y val="-9.2533050440117827E-17"/>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446-4050-8FD1-F2ED6CB8F7CD}"/>
                </c:ext>
              </c:extLst>
            </c:dLbl>
            <c:dLbl>
              <c:idx val="3"/>
              <c:layout>
                <c:manualLayout>
                  <c:x val="1.6129028844079917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446-4050-8FD1-F2ED6CB8F7CD}"/>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ManagerSaleProfit!$A$4:$A$7</c:f>
              <c:strCache>
                <c:ptCount val="4"/>
                <c:pt idx="0">
                  <c:v>Arabica</c:v>
                </c:pt>
                <c:pt idx="1">
                  <c:v>Execelsa</c:v>
                </c:pt>
                <c:pt idx="2">
                  <c:v>Liberica</c:v>
                </c:pt>
                <c:pt idx="3">
                  <c:v>Robusta</c:v>
                </c:pt>
              </c:strCache>
            </c:strRef>
          </c:cat>
          <c:val>
            <c:numRef>
              <c:f>ManagerSaleProfit!$C$4:$C$7</c:f>
              <c:numCache>
                <c:formatCode>_("$"* #,##0.00_);_("$"* \(#,##0.00\);_("$"* "-"??_);_(@_)</c:formatCode>
                <c:ptCount val="4"/>
                <c:pt idx="0">
                  <c:v>1059.16455</c:v>
                </c:pt>
                <c:pt idx="1">
                  <c:v>1353.7083999999991</c:v>
                </c:pt>
                <c:pt idx="2">
                  <c:v>1567.0297500000017</c:v>
                </c:pt>
                <c:pt idx="3">
                  <c:v>540.31470000000047</c:v>
                </c:pt>
              </c:numCache>
            </c:numRef>
          </c:val>
          <c:extLst>
            <c:ext xmlns:c16="http://schemas.microsoft.com/office/drawing/2014/chart" uri="{C3380CC4-5D6E-409C-BE32-E72D297353CC}">
              <c16:uniqueId val="{00000001-AF5F-47ED-B93F-F02626121040}"/>
            </c:ext>
          </c:extLst>
        </c:ser>
        <c:dLbls>
          <c:dLblPos val="outEnd"/>
          <c:showLegendKey val="0"/>
          <c:showVal val="1"/>
          <c:showCatName val="0"/>
          <c:showSerName val="0"/>
          <c:showPercent val="0"/>
          <c:showBubbleSize val="0"/>
        </c:dLbls>
        <c:gapWidth val="150"/>
        <c:axId val="1790066704"/>
        <c:axId val="1790067664"/>
      </c:bar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1"/>
        <c:axPos val="l"/>
        <c:numFmt formatCode="_(&quot;$&quot;* #,##0.00_);_(&quot;$&quot;* \(#,##0.00\);_(&quot;$&quot;* &quot;-&quot;??_);_(@_)" sourceLinked="1"/>
        <c:majorTickMark val="out"/>
        <c:minorTickMark val="none"/>
        <c:tickLblPos val="nextTo"/>
        <c:crossAx val="1790066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[coffeeOrdersDataSDA.xlsx]ManagerTrendExecelsa!PivotTable2</c:name>
    <c:fmtId val="6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Execelsa</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ManagerTrendExecelsa!$B$3:$B$4</c:f>
              <c:strCache>
                <c:ptCount val="1"/>
                <c:pt idx="0">
                  <c:v>Execelsa</c:v>
                </c:pt>
              </c:strCache>
            </c:strRef>
          </c:tx>
          <c:spPr>
            <a:ln w="28575" cap="rnd">
              <a:solidFill>
                <a:schemeClr val="accent1"/>
              </a:solidFill>
              <a:round/>
            </a:ln>
            <a:effectLst/>
          </c:spPr>
          <c:marker>
            <c:symbol val="none"/>
          </c:marker>
          <c:cat>
            <c:multiLvlStrRef>
              <c:f>ManagerTrendExecelsa!$A$5:$A$53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ManagerTrendExecelsa!$B$5:$B$53</c:f>
              <c:numCache>
                <c:formatCode>"$"#,##0</c:formatCode>
                <c:ptCount val="44"/>
                <c:pt idx="0">
                  <c:v>305.96999999999997</c:v>
                </c:pt>
                <c:pt idx="1">
                  <c:v>129.46</c:v>
                </c:pt>
                <c:pt idx="2">
                  <c:v>349.12000000000006</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357.42999999999989</c:v>
                </c:pt>
                <c:pt idx="18">
                  <c:v>227.42500000000001</c:v>
                </c:pt>
                <c:pt idx="19">
                  <c:v>77.72</c:v>
                </c:pt>
                <c:pt idx="20">
                  <c:v>195.11</c:v>
                </c:pt>
                <c:pt idx="21">
                  <c:v>523.2399999999999</c:v>
                </c:pt>
                <c:pt idx="22">
                  <c:v>142.56</c:v>
                </c:pt>
                <c:pt idx="23">
                  <c:v>484.76</c:v>
                </c:pt>
                <c:pt idx="24">
                  <c:v>139.625</c:v>
                </c:pt>
                <c:pt idx="25">
                  <c:v>284.25</c:v>
                </c:pt>
                <c:pt idx="26">
                  <c:v>468.125</c:v>
                </c:pt>
                <c:pt idx="27">
                  <c:v>242.14</c:v>
                </c:pt>
                <c:pt idx="28">
                  <c:v>133.08000000000001</c:v>
                </c:pt>
                <c:pt idx="29">
                  <c:v>136.20499999999998</c:v>
                </c:pt>
                <c:pt idx="30">
                  <c:v>393.57499999999999</c:v>
                </c:pt>
                <c:pt idx="31">
                  <c:v>288.66999999999996</c:v>
                </c:pt>
                <c:pt idx="32">
                  <c:v>409.875</c:v>
                </c:pt>
                <c:pt idx="33">
                  <c:v>260.32499999999999</c:v>
                </c:pt>
                <c:pt idx="34">
                  <c:v>565.56999999999994</c:v>
                </c:pt>
                <c:pt idx="35">
                  <c:v>148.20000000000002</c:v>
                </c:pt>
                <c:pt idx="36">
                  <c:v>166.32</c:v>
                </c:pt>
                <c:pt idx="37">
                  <c:v>133.815</c:v>
                </c:pt>
                <c:pt idx="38">
                  <c:v>175.40999999999997</c:v>
                </c:pt>
                <c:pt idx="39">
                  <c:v>289.75499999999994</c:v>
                </c:pt>
                <c:pt idx="40">
                  <c:v>212.49499999999998</c:v>
                </c:pt>
                <c:pt idx="41">
                  <c:v>426.19999999999993</c:v>
                </c:pt>
                <c:pt idx="42">
                  <c:v>246.685</c:v>
                </c:pt>
                <c:pt idx="43">
                  <c:v>41.25</c:v>
                </c:pt>
              </c:numCache>
            </c:numRef>
          </c:val>
          <c:smooth val="0"/>
          <c:extLst>
            <c:ext xmlns:c16="http://schemas.microsoft.com/office/drawing/2014/chart" uri="{C3380CC4-5D6E-409C-BE32-E72D297353CC}">
              <c16:uniqueId val="{00000000-5059-4CF0-AC5C-2B5D7CFBE067}"/>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[coffeeOrdersDataSDA.xlsx]ManagerTrendLiberica!PivotTable2</c:name>
    <c:fmtId val="5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Liberica</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ManagerTrendLiberica!$B$3:$B$4</c:f>
              <c:strCache>
                <c:ptCount val="1"/>
                <c:pt idx="0">
                  <c:v>Liberica</c:v>
                </c:pt>
              </c:strCache>
            </c:strRef>
          </c:tx>
          <c:spPr>
            <a:ln w="28575" cap="rnd">
              <a:solidFill>
                <a:schemeClr val="accent1"/>
              </a:solidFill>
              <a:round/>
            </a:ln>
            <a:effectLst/>
          </c:spPr>
          <c:marker>
            <c:symbol val="none"/>
          </c:marker>
          <c:cat>
            <c:multiLvlStrRef>
              <c:f>ManagerTrendLiberica!$A$5:$A$53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ManagerTrendLiberica!$B$5:$B$53</c:f>
              <c:numCache>
                <c:formatCode>"$"#,##0</c:formatCode>
                <c:ptCount val="44"/>
                <c:pt idx="0">
                  <c:v>213.16</c:v>
                </c:pt>
                <c:pt idx="1">
                  <c:v>434.03999999999996</c:v>
                </c:pt>
                <c:pt idx="2">
                  <c:v>321.03999999999996</c:v>
                </c:pt>
                <c:pt idx="3">
                  <c:v>533.70499999999993</c:v>
                </c:pt>
                <c:pt idx="4">
                  <c:v>193.83499999999998</c:v>
                </c:pt>
                <c:pt idx="5">
                  <c:v>171.04499999999999</c:v>
                </c:pt>
                <c:pt idx="6">
                  <c:v>184.13</c:v>
                </c:pt>
                <c:pt idx="7">
                  <c:v>134.23000000000002</c:v>
                </c:pt>
                <c:pt idx="8">
                  <c:v>439.30999999999995</c:v>
                </c:pt>
                <c:pt idx="9">
                  <c:v>215.55499999999998</c:v>
                </c:pt>
                <c:pt idx="10">
                  <c:v>350.89499999999992</c:v>
                </c:pt>
                <c:pt idx="11">
                  <c:v>187.06</c:v>
                </c:pt>
                <c:pt idx="12">
                  <c:v>274.67500000000001</c:v>
                </c:pt>
                <c:pt idx="13">
                  <c:v>194.17499999999998</c:v>
                </c:pt>
                <c:pt idx="14">
                  <c:v>281.20499999999998</c:v>
                </c:pt>
                <c:pt idx="15">
                  <c:v>147.51000000000002</c:v>
                </c:pt>
                <c:pt idx="16">
                  <c:v>83.429999999999993</c:v>
                </c:pt>
                <c:pt idx="17">
                  <c:v>355.33999999999992</c:v>
                </c:pt>
                <c:pt idx="18">
                  <c:v>236.315</c:v>
                </c:pt>
                <c:pt idx="19">
                  <c:v>60.5</c:v>
                </c:pt>
                <c:pt idx="20">
                  <c:v>89.13</c:v>
                </c:pt>
                <c:pt idx="21">
                  <c:v>440.96499999999992</c:v>
                </c:pt>
                <c:pt idx="22">
                  <c:v>347.03999999999996</c:v>
                </c:pt>
                <c:pt idx="23">
                  <c:v>94.17</c:v>
                </c:pt>
                <c:pt idx="24">
                  <c:v>279.52</c:v>
                </c:pt>
                <c:pt idx="25">
                  <c:v>251.83</c:v>
                </c:pt>
                <c:pt idx="26">
                  <c:v>405.05500000000001</c:v>
                </c:pt>
                <c:pt idx="27">
                  <c:v>554.875</c:v>
                </c:pt>
                <c:pt idx="28">
                  <c:v>267.2</c:v>
                </c:pt>
                <c:pt idx="29">
                  <c:v>209.59999999999997</c:v>
                </c:pt>
                <c:pt idx="30">
                  <c:v>61.034999999999997</c:v>
                </c:pt>
                <c:pt idx="31">
                  <c:v>125.58</c:v>
                </c:pt>
                <c:pt idx="32">
                  <c:v>171.33</c:v>
                </c:pt>
                <c:pt idx="33">
                  <c:v>584.64</c:v>
                </c:pt>
                <c:pt idx="34">
                  <c:v>537.81000000000006</c:v>
                </c:pt>
                <c:pt idx="35">
                  <c:v>388.22</c:v>
                </c:pt>
                <c:pt idx="36">
                  <c:v>843.7149999999998</c:v>
                </c:pt>
                <c:pt idx="37">
                  <c:v>91.175000000000011</c:v>
                </c:pt>
                <c:pt idx="38">
                  <c:v>462.50999999999993</c:v>
                </c:pt>
                <c:pt idx="39">
                  <c:v>88.545000000000002</c:v>
                </c:pt>
                <c:pt idx="40">
                  <c:v>292.28999999999996</c:v>
                </c:pt>
                <c:pt idx="41">
                  <c:v>170.08999999999997</c:v>
                </c:pt>
                <c:pt idx="42">
                  <c:v>271.05500000000001</c:v>
                </c:pt>
                <c:pt idx="43">
                  <c:v>15.54</c:v>
                </c:pt>
              </c:numCache>
            </c:numRef>
          </c:val>
          <c:smooth val="0"/>
          <c:extLst>
            <c:ext xmlns:c16="http://schemas.microsoft.com/office/drawing/2014/chart" uri="{C3380CC4-5D6E-409C-BE32-E72D297353CC}">
              <c16:uniqueId val="{00000000-ABCE-43AD-A637-2C09C0FD3942}"/>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[coffeeOrdersDataSDA.xlsx]ManagerTrendRobusta!PivotTable2</c:name>
    <c:fmtId val="5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Robusta</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ManagerTrendRobusta!$B$3:$B$4</c:f>
              <c:strCache>
                <c:ptCount val="1"/>
                <c:pt idx="0">
                  <c:v>Robusta</c:v>
                </c:pt>
              </c:strCache>
            </c:strRef>
          </c:tx>
          <c:spPr>
            <a:ln w="28575" cap="rnd">
              <a:solidFill>
                <a:schemeClr val="accent1"/>
              </a:solidFill>
              <a:round/>
            </a:ln>
            <a:effectLst/>
          </c:spPr>
          <c:marker>
            <c:symbol val="none"/>
          </c:marker>
          <c:cat>
            <c:multiLvlStrRef>
              <c:f>ManagerTrendRobusta!$A$5:$A$53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ManagerTrendRobusta!$B$5:$B$53</c:f>
              <c:numCache>
                <c:formatCode>"$"#,##0</c:formatCode>
                <c:ptCount val="44"/>
                <c:pt idx="0">
                  <c:v>123</c:v>
                </c:pt>
                <c:pt idx="1">
                  <c:v>171.93999999999997</c:v>
                </c:pt>
                <c:pt idx="2">
                  <c:v>126.035</c:v>
                </c:pt>
                <c:pt idx="3">
                  <c:v>158.85</c:v>
                </c:pt>
                <c:pt idx="4">
                  <c:v>68.039999999999992</c:v>
                </c:pt>
                <c:pt idx="5">
                  <c:v>372.25500000000005</c:v>
                </c:pt>
                <c:pt idx="6">
                  <c:v>201.11499999999998</c:v>
                </c:pt>
                <c:pt idx="7">
                  <c:v>166.27500000000001</c:v>
                </c:pt>
                <c:pt idx="8">
                  <c:v>492.89999999999992</c:v>
                </c:pt>
                <c:pt idx="9">
                  <c:v>213.66499999999999</c:v>
                </c:pt>
                <c:pt idx="10">
                  <c:v>96.404999999999987</c:v>
                </c:pt>
                <c:pt idx="11">
                  <c:v>210.58999999999997</c:v>
                </c:pt>
                <c:pt idx="12">
                  <c:v>179.21999999999997</c:v>
                </c:pt>
                <c:pt idx="13">
                  <c:v>429.83</c:v>
                </c:pt>
                <c:pt idx="14">
                  <c:v>231.63</c:v>
                </c:pt>
                <c:pt idx="15">
                  <c:v>240.04</c:v>
                </c:pt>
                <c:pt idx="16">
                  <c:v>59.079999999999991</c:v>
                </c:pt>
                <c:pt idx="17">
                  <c:v>140.88</c:v>
                </c:pt>
                <c:pt idx="18">
                  <c:v>414.58499999999998</c:v>
                </c:pt>
                <c:pt idx="19">
                  <c:v>139.67999999999998</c:v>
                </c:pt>
                <c:pt idx="20">
                  <c:v>302.65999999999997</c:v>
                </c:pt>
                <c:pt idx="21">
                  <c:v>174.46999999999997</c:v>
                </c:pt>
                <c:pt idx="22">
                  <c:v>104.08499999999999</c:v>
                </c:pt>
                <c:pt idx="23">
                  <c:v>77.10499999999999</c:v>
                </c:pt>
                <c:pt idx="24">
                  <c:v>160.19499999999999</c:v>
                </c:pt>
                <c:pt idx="25">
                  <c:v>80.55</c:v>
                </c:pt>
                <c:pt idx="26">
                  <c:v>253.15499999999997</c:v>
                </c:pt>
                <c:pt idx="27">
                  <c:v>106.23999999999998</c:v>
                </c:pt>
                <c:pt idx="28">
                  <c:v>272.68999999999994</c:v>
                </c:pt>
                <c:pt idx="29">
                  <c:v>88.334999999999994</c:v>
                </c:pt>
                <c:pt idx="30">
                  <c:v>199.48999999999998</c:v>
                </c:pt>
                <c:pt idx="31">
                  <c:v>374.13499999999993</c:v>
                </c:pt>
                <c:pt idx="32">
                  <c:v>221.43999999999994</c:v>
                </c:pt>
                <c:pt idx="33">
                  <c:v>256.36500000000001</c:v>
                </c:pt>
                <c:pt idx="34">
                  <c:v>189.47499999999999</c:v>
                </c:pt>
                <c:pt idx="35">
                  <c:v>212.07499999999999</c:v>
                </c:pt>
                <c:pt idx="36">
                  <c:v>146.685</c:v>
                </c:pt>
                <c:pt idx="37">
                  <c:v>53.759999999999991</c:v>
                </c:pt>
                <c:pt idx="38">
                  <c:v>399.52499999999992</c:v>
                </c:pt>
                <c:pt idx="39">
                  <c:v>200.25499999999997</c:v>
                </c:pt>
                <c:pt idx="40">
                  <c:v>304.46999999999997</c:v>
                </c:pt>
                <c:pt idx="41">
                  <c:v>379.31</c:v>
                </c:pt>
                <c:pt idx="42">
                  <c:v>141.69999999999999</c:v>
                </c:pt>
                <c:pt idx="43">
                  <c:v>71.059999999999988</c:v>
                </c:pt>
              </c:numCache>
            </c:numRef>
          </c:val>
          <c:smooth val="0"/>
          <c:extLst>
            <c:ext xmlns:c16="http://schemas.microsoft.com/office/drawing/2014/chart" uri="{C3380CC4-5D6E-409C-BE32-E72D297353CC}">
              <c16:uniqueId val="{00000000-E55D-4172-A485-5682652DBCCF}"/>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[coffeeOrdersDataSDA.xlsx]ManagerTrendArabica!PivotTable2</c:name>
    <c:fmtId val="5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for Arabica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ManagerTrendArabica!$B$3:$B$4</c:f>
              <c:strCache>
                <c:ptCount val="1"/>
                <c:pt idx="0">
                  <c:v>Arabica</c:v>
                </c:pt>
              </c:strCache>
            </c:strRef>
          </c:tx>
          <c:spPr>
            <a:ln w="28575" cap="rnd">
              <a:solidFill>
                <a:schemeClr val="accent1"/>
              </a:solidFill>
              <a:round/>
            </a:ln>
            <a:effectLst/>
          </c:spPr>
          <c:marker>
            <c:symbol val="none"/>
          </c:marker>
          <c:cat>
            <c:multiLvlStrRef>
              <c:f>ManagerTrendArabica!$A$5:$A$53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ManagerTrendArabica!$B$5:$B$53</c:f>
              <c:numCache>
                <c:formatCode>"$"#,##0</c:formatCode>
                <c:ptCount val="44"/>
                <c:pt idx="0">
                  <c:v>186.85499999999999</c:v>
                </c:pt>
                <c:pt idx="1">
                  <c:v>251.965</c:v>
                </c:pt>
                <c:pt idx="2">
                  <c:v>224.94499999999999</c:v>
                </c:pt>
                <c:pt idx="3">
                  <c:v>307.12</c:v>
                </c:pt>
                <c:pt idx="4">
                  <c:v>53.664999999999992</c:v>
                </c:pt>
                <c:pt idx="5">
                  <c:v>163.01999999999998</c:v>
                </c:pt>
                <c:pt idx="6">
                  <c:v>345.02</c:v>
                </c:pt>
                <c:pt idx="7">
                  <c:v>334.89000000000004</c:v>
                </c:pt>
                <c:pt idx="8">
                  <c:v>178.70999999999998</c:v>
                </c:pt>
                <c:pt idx="9">
                  <c:v>301.98499999999996</c:v>
                </c:pt>
                <c:pt idx="10">
                  <c:v>312.83499999999998</c:v>
                </c:pt>
                <c:pt idx="11">
                  <c:v>265.62</c:v>
                </c:pt>
                <c:pt idx="12">
                  <c:v>47.25</c:v>
                </c:pt>
                <c:pt idx="13">
                  <c:v>745.45</c:v>
                </c:pt>
                <c:pt idx="14">
                  <c:v>130.47</c:v>
                </c:pt>
                <c:pt idx="15">
                  <c:v>27</c:v>
                </c:pt>
                <c:pt idx="16">
                  <c:v>255.11499999999995</c:v>
                </c:pt>
                <c:pt idx="17">
                  <c:v>584.79</c:v>
                </c:pt>
                <c:pt idx="18">
                  <c:v>430.61999999999995</c:v>
                </c:pt>
                <c:pt idx="19">
                  <c:v>22.5</c:v>
                </c:pt>
                <c:pt idx="20">
                  <c:v>126.14999999999999</c:v>
                </c:pt>
                <c:pt idx="21">
                  <c:v>376.03</c:v>
                </c:pt>
                <c:pt idx="22">
                  <c:v>515.17999999999995</c:v>
                </c:pt>
                <c:pt idx="23">
                  <c:v>95.86</c:v>
                </c:pt>
                <c:pt idx="24">
                  <c:v>258.34499999999997</c:v>
                </c:pt>
                <c:pt idx="25">
                  <c:v>342.19999999999993</c:v>
                </c:pt>
                <c:pt idx="26">
                  <c:v>418.30499999999995</c:v>
                </c:pt>
                <c:pt idx="27">
                  <c:v>102.32999999999998</c:v>
                </c:pt>
                <c:pt idx="28">
                  <c:v>234.72</c:v>
                </c:pt>
                <c:pt idx="29">
                  <c:v>430.39</c:v>
                </c:pt>
                <c:pt idx="30">
                  <c:v>109.005</c:v>
                </c:pt>
                <c:pt idx="31">
                  <c:v>287.52499999999998</c:v>
                </c:pt>
                <c:pt idx="32">
                  <c:v>840.93</c:v>
                </c:pt>
                <c:pt idx="33">
                  <c:v>299.07</c:v>
                </c:pt>
                <c:pt idx="34">
                  <c:v>323.32499999999999</c:v>
                </c:pt>
                <c:pt idx="35">
                  <c:v>399.48499999999996</c:v>
                </c:pt>
                <c:pt idx="36">
                  <c:v>112.69499999999999</c:v>
                </c:pt>
                <c:pt idx="37">
                  <c:v>114.88</c:v>
                </c:pt>
                <c:pt idx="38">
                  <c:v>277.76</c:v>
                </c:pt>
                <c:pt idx="39">
                  <c:v>197.89500000000001</c:v>
                </c:pt>
                <c:pt idx="40">
                  <c:v>193.11500000000001</c:v>
                </c:pt>
                <c:pt idx="41">
                  <c:v>179.79</c:v>
                </c:pt>
                <c:pt idx="42">
                  <c:v>247.29</c:v>
                </c:pt>
                <c:pt idx="43">
                  <c:v>116.39499999999998</c:v>
                </c:pt>
              </c:numCache>
            </c:numRef>
          </c:val>
          <c:smooth val="0"/>
          <c:extLst>
            <c:ext xmlns:c16="http://schemas.microsoft.com/office/drawing/2014/chart" uri="{C3380CC4-5D6E-409C-BE32-E72D297353CC}">
              <c16:uniqueId val="{00000000-1934-4009-AB99-02012B9A69BB}"/>
            </c:ext>
          </c:extLst>
        </c:ser>
        <c:dLbls>
          <c:showLegendKey val="0"/>
          <c:showVal val="0"/>
          <c:showCatName val="0"/>
          <c:showSerName val="0"/>
          <c:showPercent val="0"/>
          <c:showBubbleSize val="0"/>
        </c:dLbls>
        <c:smooth val="0"/>
        <c:axId val="1790066704"/>
        <c:axId val="1790067664"/>
      </c:lineChart>
      <c:catAx>
        <c:axId val="17900667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[coffeeOrdersDataSDA.xlsx]ManagerTopCountryBySale!PivotTable2</c:name>
    <c:fmtId val="4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Country</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ManagerTopCountryBySale!$B$3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ManagerTopCountryBySale!$A$4:$A$7</c:f>
              <c:strCache>
                <c:ptCount val="3"/>
                <c:pt idx="0">
                  <c:v>United Kingdom</c:v>
                </c:pt>
                <c:pt idx="1">
                  <c:v>Ireland</c:v>
                </c:pt>
                <c:pt idx="2">
                  <c:v>United States</c:v>
                </c:pt>
              </c:strCache>
            </c:strRef>
          </c:cat>
          <c:val>
            <c:numRef>
              <c:f>ManagerTopCountryBySale!$B$4:$B$7</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1881-4291-9657-E5A08E1F6AE2}"/>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[coffeeOrdersDataSDA.xlsx]ManagerSalesByLoyalty!PivotTable2</c:name>
    <c:fmtId val="4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Loyalty Cards</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ManagerSalesByLoyalty!$B$3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ManagerSalesByLoyalty!$A$4:$A$6</c:f>
              <c:strCache>
                <c:ptCount val="2"/>
                <c:pt idx="0">
                  <c:v>No</c:v>
                </c:pt>
                <c:pt idx="1">
                  <c:v>Yes</c:v>
                </c:pt>
              </c:strCache>
            </c:strRef>
          </c:cat>
          <c:val>
            <c:numRef>
              <c:f>ManagerSalesByLoyalty!$B$4:$B$6</c:f>
              <c:numCache>
                <c:formatCode>"$"#,##0</c:formatCode>
                <c:ptCount val="2"/>
                <c:pt idx="0">
                  <c:v>24216.404999999995</c:v>
                </c:pt>
                <c:pt idx="1">
                  <c:v>20917.849999999995</c:v>
                </c:pt>
              </c:numCache>
            </c:numRef>
          </c:val>
          <c:extLst>
            <c:ext xmlns:c16="http://schemas.microsoft.com/office/drawing/2014/chart" uri="{C3380CC4-5D6E-409C-BE32-E72D297353CC}">
              <c16:uniqueId val="{00000000-6C5D-426B-AFA2-B6E8F0A343AC}"/>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[coffeeOrdersDataSDA.xlsx]ManagerTop5Products!PivotTable2</c:name>
    <c:fmtId val="5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Distribution by Cofee Type</a:t>
            </a:r>
            <a:endParaRPr lang="en-G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H"/>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ManagerTop5Products!$B$3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GH"/>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ManagerTop5Products!$A$4:$A$9</c:f>
              <c:strCache>
                <c:ptCount val="5"/>
                <c:pt idx="0">
                  <c:v>Liberica-Light-2.5</c:v>
                </c:pt>
                <c:pt idx="1">
                  <c:v>Liberica-Dark-2.5</c:v>
                </c:pt>
                <c:pt idx="2">
                  <c:v>Excelsa-Light-2.5</c:v>
                </c:pt>
                <c:pt idx="3">
                  <c:v>Arabica-Medium-2.5</c:v>
                </c:pt>
                <c:pt idx="4">
                  <c:v>Arabica-Light-2.5</c:v>
                </c:pt>
              </c:strCache>
            </c:strRef>
          </c:cat>
          <c:val>
            <c:numRef>
              <c:f>ManagerTop5Products!$B$4:$B$9</c:f>
              <c:numCache>
                <c:formatCode>"$"#,##0</c:formatCode>
                <c:ptCount val="5"/>
                <c:pt idx="0">
                  <c:v>2150.8449999999998</c:v>
                </c:pt>
                <c:pt idx="1">
                  <c:v>2442.3699999999994</c:v>
                </c:pt>
                <c:pt idx="2">
                  <c:v>2459.1599999999994</c:v>
                </c:pt>
                <c:pt idx="3">
                  <c:v>2509.8749999999995</c:v>
                </c:pt>
                <c:pt idx="4">
                  <c:v>2561.5099999999998</c:v>
                </c:pt>
              </c:numCache>
            </c:numRef>
          </c:val>
          <c:extLst>
            <c:ext xmlns:c16="http://schemas.microsoft.com/office/drawing/2014/chart" uri="{C3380CC4-5D6E-409C-BE32-E72D297353CC}">
              <c16:uniqueId val="{00000000-AAD3-438C-ABBC-A39E469D3520}"/>
            </c:ext>
          </c:extLst>
        </c:ser>
        <c:dLbls>
          <c:showLegendKey val="0"/>
          <c:showVal val="1"/>
          <c:showCatName val="0"/>
          <c:showSerName val="0"/>
          <c:showPercent val="0"/>
          <c:showBubbleSize val="0"/>
        </c:dLbls>
        <c:gapWidth val="75"/>
        <c:axId val="1790066704"/>
        <c:axId val="1790067664"/>
      </c:barChart>
      <c:catAx>
        <c:axId val="17900667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GH"/>
          </a:p>
        </c:txPr>
        <c:crossAx val="1790067664"/>
        <c:crosses val="autoZero"/>
        <c:auto val="1"/>
        <c:lblAlgn val="ctr"/>
        <c:lblOffset val="100"/>
        <c:noMultiLvlLbl val="0"/>
      </c:catAx>
      <c:valAx>
        <c:axId val="1790067664"/>
        <c:scaling>
          <c:orientation val="minMax"/>
        </c:scaling>
        <c:delete val="1"/>
        <c:axPos val="b"/>
        <c:numFmt formatCode="&quot;$&quot;#,##0" sourceLinked="1"/>
        <c:majorTickMark val="out"/>
        <c:minorTickMark val="none"/>
        <c:tickLblPos val="nextTo"/>
        <c:crossAx val="179006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GH"/>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Sales by Country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Country</a:t>
          </a:r>
        </a:p>
      </cx:txPr>
    </cx:title>
    <cx:plotArea>
      <cx:plotAreaRegion>
        <cx:series layoutId="treemap" uniqueId="{3BA7CB3A-5CDA-4BC7-B2B6-E8EDE1A6EB9A}">
          <cx:tx>
            <cx:txData>
              <cx:f>_xlchart.v1.1</cx:f>
              <cx:v>Sum of Sales</cx:v>
            </cx:txData>
          </cx:tx>
          <cx:dataLabels>
            <cx:visibility seriesName="0" categoryName="1" value="0"/>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by Country</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Sales by Country</a:t>
          </a:r>
        </a:p>
      </cx:txPr>
    </cx:title>
    <cx:plotArea>
      <cx:plotAreaRegion>
        <cx:series layoutId="treemap" uniqueId="{3BA7CB3A-5CDA-4BC7-B2B6-E8EDE1A6EB9A}">
          <cx:tx>
            <cx:txData>
              <cx:f>_xlchart.v1.4</cx:f>
              <cx:v>Sum of Sales</cx:v>
            </cx:txData>
          </cx:tx>
          <cx:dataLabels>
            <cx:visibility seriesName="0" categoryName="1" value="0"/>
            <cx:separator>, </cx:separator>
          </cx:dataLabels>
          <cx:dataId val="0"/>
          <cx:layoutPr>
            <cx:parentLabelLayout val="banner"/>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18.xml"/><Relationship Id="rId2" Type="http://schemas.microsoft.com/office/2014/relationships/chartEx" Target="../charts/chartEx2.xml"/><Relationship Id="rId1" Type="http://schemas.openxmlformats.org/officeDocument/2006/relationships/chart" Target="../charts/chart17.xml"/></Relationships>
</file>

<file path=xl/drawings/_rels/drawing17.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5" Type="http://schemas.openxmlformats.org/officeDocument/2006/relationships/chart" Target="../charts/chart23.xml"/><Relationship Id="rId4"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6</xdr:col>
      <xdr:colOff>606425</xdr:colOff>
      <xdr:row>14</xdr:row>
      <xdr:rowOff>0</xdr:rowOff>
    </xdr:from>
    <xdr:to>
      <xdr:col>18</xdr:col>
      <xdr:colOff>304800</xdr:colOff>
      <xdr:row>33</xdr:row>
      <xdr:rowOff>30162</xdr:rowOff>
    </xdr:to>
    <xdr:graphicFrame macro="">
      <xdr:nvGraphicFramePr>
        <xdr:cNvPr id="2" name="Chart 1">
          <a:extLst>
            <a:ext uri="{FF2B5EF4-FFF2-40B4-BE49-F238E27FC236}">
              <a16:creationId xmlns:a16="http://schemas.microsoft.com/office/drawing/2014/main" id="{5C74C6BD-DD35-4FCE-99AB-E27FDF99F2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561974</xdr:colOff>
      <xdr:row>5</xdr:row>
      <xdr:rowOff>73025</xdr:rowOff>
    </xdr:from>
    <xdr:to>
      <xdr:col>18</xdr:col>
      <xdr:colOff>323849</xdr:colOff>
      <xdr:row>13</xdr:row>
      <xdr:rowOff>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79CA32B5-480E-2A5D-0BCD-1D76FC3758F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5889624" y="993775"/>
              <a:ext cx="7029450" cy="1400175"/>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19</xdr:col>
      <xdr:colOff>504825</xdr:colOff>
      <xdr:row>15</xdr:row>
      <xdr:rowOff>95251</xdr:rowOff>
    </xdr:from>
    <xdr:to>
      <xdr:col>22</xdr:col>
      <xdr:colOff>504825</xdr:colOff>
      <xdr:row>20</xdr:row>
      <xdr:rowOff>161926</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2A3B8319-29D4-A33B-0F54-E7573470E6CB}"/>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3757275" y="2857501"/>
              <a:ext cx="1828800" cy="9874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447675</xdr:colOff>
      <xdr:row>21</xdr:row>
      <xdr:rowOff>76200</xdr:rowOff>
    </xdr:from>
    <xdr:to>
      <xdr:col>22</xdr:col>
      <xdr:colOff>447675</xdr:colOff>
      <xdr:row>27</xdr:row>
      <xdr:rowOff>28575</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2DAD96F2-F1CE-6C00-74C0-5E73F5C641C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700125" y="3943350"/>
              <a:ext cx="1828800" cy="10572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396875</xdr:colOff>
      <xdr:row>11</xdr:row>
      <xdr:rowOff>6350</xdr:rowOff>
    </xdr:from>
    <xdr:to>
      <xdr:col>23</xdr:col>
      <xdr:colOff>349250</xdr:colOff>
      <xdr:row>15</xdr:row>
      <xdr:rowOff>38100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79435D41-B7A5-3397-969D-0D298D9A0685}"/>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649325" y="2032000"/>
              <a:ext cx="2390775" cy="7683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295274</xdr:colOff>
      <xdr:row>5</xdr:row>
      <xdr:rowOff>112712</xdr:rowOff>
    </xdr:from>
    <xdr:to>
      <xdr:col>15</xdr:col>
      <xdr:colOff>114299</xdr:colOff>
      <xdr:row>23</xdr:row>
      <xdr:rowOff>66675</xdr:rowOff>
    </xdr:to>
    <xdr:graphicFrame macro="">
      <xdr:nvGraphicFramePr>
        <xdr:cNvPr id="7" name="Chart 6">
          <a:extLst>
            <a:ext uri="{FF2B5EF4-FFF2-40B4-BE49-F238E27FC236}">
              <a16:creationId xmlns:a16="http://schemas.microsoft.com/office/drawing/2014/main" id="{919201D1-940A-3B2E-C449-1E1905580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295274</xdr:colOff>
      <xdr:row>5</xdr:row>
      <xdr:rowOff>112712</xdr:rowOff>
    </xdr:from>
    <xdr:to>
      <xdr:col>15</xdr:col>
      <xdr:colOff>114299</xdr:colOff>
      <xdr:row>23</xdr:row>
      <xdr:rowOff>66675</xdr:rowOff>
    </xdr:to>
    <xdr:graphicFrame macro="">
      <xdr:nvGraphicFramePr>
        <xdr:cNvPr id="2" name="Chart 1">
          <a:extLst>
            <a:ext uri="{FF2B5EF4-FFF2-40B4-BE49-F238E27FC236}">
              <a16:creationId xmlns:a16="http://schemas.microsoft.com/office/drawing/2014/main" id="{ACAD5241-EAB8-4729-BD0E-3BEAE5403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28574</xdr:colOff>
      <xdr:row>3</xdr:row>
      <xdr:rowOff>20637</xdr:rowOff>
    </xdr:from>
    <xdr:to>
      <xdr:col>18</xdr:col>
      <xdr:colOff>193674</xdr:colOff>
      <xdr:row>22</xdr:row>
      <xdr:rowOff>82550</xdr:rowOff>
    </xdr:to>
    <xdr:graphicFrame macro="">
      <xdr:nvGraphicFramePr>
        <xdr:cNvPr id="2" name="Chart 1">
          <a:extLst>
            <a:ext uri="{FF2B5EF4-FFF2-40B4-BE49-F238E27FC236}">
              <a16:creationId xmlns:a16="http://schemas.microsoft.com/office/drawing/2014/main" id="{8F6AA14F-ABCE-5AAC-08CF-E2618CF49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434975</xdr:colOff>
      <xdr:row>23</xdr:row>
      <xdr:rowOff>152400</xdr:rowOff>
    </xdr:from>
    <xdr:to>
      <xdr:col>13</xdr:col>
      <xdr:colOff>111125</xdr:colOff>
      <xdr:row>31</xdr:row>
      <xdr:rowOff>76200</xdr:rowOff>
    </xdr:to>
    <mc:AlternateContent xmlns:mc="http://schemas.openxmlformats.org/markup-compatibility/2006" xmlns:tsle="http://schemas.microsoft.com/office/drawing/2012/timeslicer">
      <mc:Choice Requires="tsle">
        <xdr:graphicFrame macro="">
          <xdr:nvGraphicFramePr>
            <xdr:cNvPr id="3" name="Order Date 2">
              <a:extLst>
                <a:ext uri="{FF2B5EF4-FFF2-40B4-BE49-F238E27FC236}">
                  <a16:creationId xmlns:a16="http://schemas.microsoft.com/office/drawing/2014/main" id="{C6BB272D-09E3-516B-24A9-4744E5BF04D0}"/>
                </a:ext>
              </a:extLst>
            </xdr:cNvPr>
            <xdr:cNvGraphicFramePr/>
          </xdr:nvGraphicFramePr>
          <xdr:xfrm>
            <a:off x="0" y="0"/>
            <a:ext cx="0" cy="0"/>
          </xdr:xfrm>
          <a:graphic>
            <a:graphicData uri="http://schemas.microsoft.com/office/drawing/2012/timeslicer">
              <tsle:timeslicer name="Order Date 2"/>
            </a:graphicData>
          </a:graphic>
        </xdr:graphicFrame>
      </mc:Choice>
      <mc:Fallback xmlns="">
        <xdr:sp macro="" textlink="">
          <xdr:nvSpPr>
            <xdr:cNvPr id="0" name=""/>
            <xdr:cNvSpPr>
              <a:spLocks noTextEdit="1"/>
            </xdr:cNvSpPr>
          </xdr:nvSpPr>
          <xdr:spPr>
            <a:xfrm>
              <a:off x="5416550" y="4314825"/>
              <a:ext cx="3333750" cy="137160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16</xdr:col>
      <xdr:colOff>234950</xdr:colOff>
      <xdr:row>23</xdr:row>
      <xdr:rowOff>28576</xdr:rowOff>
    </xdr:from>
    <xdr:to>
      <xdr:col>19</xdr:col>
      <xdr:colOff>234950</xdr:colOff>
      <xdr:row>31</xdr:row>
      <xdr:rowOff>63501</xdr:rowOff>
    </xdr:to>
    <mc:AlternateContent xmlns:mc="http://schemas.openxmlformats.org/markup-compatibility/2006" xmlns:a14="http://schemas.microsoft.com/office/drawing/2010/main">
      <mc:Choice Requires="a14">
        <xdr:graphicFrame macro="">
          <xdr:nvGraphicFramePr>
            <xdr:cNvPr id="6" name="Coffee Type Name">
              <a:extLst>
                <a:ext uri="{FF2B5EF4-FFF2-40B4-BE49-F238E27FC236}">
                  <a16:creationId xmlns:a16="http://schemas.microsoft.com/office/drawing/2014/main" id="{263159F4-E2A9-63C6-D357-14CEDB87CA2B}"/>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0706100" y="4187826"/>
              <a:ext cx="1825625" cy="14859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34925</xdr:colOff>
      <xdr:row>14</xdr:row>
      <xdr:rowOff>57149</xdr:rowOff>
    </xdr:from>
    <xdr:to>
      <xdr:col>23</xdr:col>
      <xdr:colOff>34925</xdr:colOff>
      <xdr:row>22</xdr:row>
      <xdr:rowOff>31749</xdr:rowOff>
    </xdr:to>
    <mc:AlternateContent xmlns:mc="http://schemas.openxmlformats.org/markup-compatibility/2006" xmlns:a14="http://schemas.microsoft.com/office/drawing/2010/main">
      <mc:Choice Requires="a14">
        <xdr:graphicFrame macro="">
          <xdr:nvGraphicFramePr>
            <xdr:cNvPr id="7" name="Roast Type Name 2">
              <a:extLst>
                <a:ext uri="{FF2B5EF4-FFF2-40B4-BE49-F238E27FC236}">
                  <a16:creationId xmlns:a16="http://schemas.microsoft.com/office/drawing/2014/main" id="{52C5D137-283C-87AE-D7C3-4CE65AE32D6B}"/>
                </a:ext>
              </a:extLst>
            </xdr:cNvPr>
            <xdr:cNvGraphicFramePr/>
          </xdr:nvGraphicFramePr>
          <xdr:xfrm>
            <a:off x="0" y="0"/>
            <a:ext cx="0" cy="0"/>
          </xdr:xfrm>
          <a:graphic>
            <a:graphicData uri="http://schemas.microsoft.com/office/drawing/2010/slicer">
              <sle:slicer xmlns:sle="http://schemas.microsoft.com/office/drawing/2010/slicer" name="Roast Type Name 2"/>
            </a:graphicData>
          </a:graphic>
        </xdr:graphicFrame>
      </mc:Choice>
      <mc:Fallback xmlns="">
        <xdr:sp macro="" textlink="">
          <xdr:nvSpPr>
            <xdr:cNvPr id="0" name=""/>
            <xdr:cNvSpPr>
              <a:spLocks noTextEdit="1"/>
            </xdr:cNvSpPr>
          </xdr:nvSpPr>
          <xdr:spPr>
            <a:xfrm>
              <a:off x="12941300" y="2590799"/>
              <a:ext cx="1828800" cy="14224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7</xdr:col>
      <xdr:colOff>100012</xdr:colOff>
      <xdr:row>11</xdr:row>
      <xdr:rowOff>157162</xdr:rowOff>
    </xdr:from>
    <xdr:to>
      <xdr:col>14</xdr:col>
      <xdr:colOff>404812</xdr:colOff>
      <xdr:row>27</xdr:row>
      <xdr:rowOff>4762</xdr:rowOff>
    </xdr:to>
    <xdr:graphicFrame macro="">
      <xdr:nvGraphicFramePr>
        <xdr:cNvPr id="3" name="Chart 2">
          <a:extLst>
            <a:ext uri="{FF2B5EF4-FFF2-40B4-BE49-F238E27FC236}">
              <a16:creationId xmlns:a16="http://schemas.microsoft.com/office/drawing/2014/main" id="{ADE7F3B4-A4E1-FEDB-ECEA-3FE6FA9987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10</xdr:col>
      <xdr:colOff>247650</xdr:colOff>
      <xdr:row>11</xdr:row>
      <xdr:rowOff>157162</xdr:rowOff>
    </xdr:from>
    <xdr:to>
      <xdr:col>17</xdr:col>
      <xdr:colOff>552450</xdr:colOff>
      <xdr:row>27</xdr:row>
      <xdr:rowOff>4762</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3B0BBF0-83DE-D946-AE9E-62EB768F37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29400" y="2151062"/>
              <a:ext cx="4572000" cy="2743200"/>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7</xdr:col>
      <xdr:colOff>100012</xdr:colOff>
      <xdr:row>11</xdr:row>
      <xdr:rowOff>157162</xdr:rowOff>
    </xdr:from>
    <xdr:to>
      <xdr:col>14</xdr:col>
      <xdr:colOff>404812</xdr:colOff>
      <xdr:row>27</xdr:row>
      <xdr:rowOff>4762</xdr:rowOff>
    </xdr:to>
    <xdr:graphicFrame macro="">
      <xdr:nvGraphicFramePr>
        <xdr:cNvPr id="2" name="Chart 1">
          <a:extLst>
            <a:ext uri="{FF2B5EF4-FFF2-40B4-BE49-F238E27FC236}">
              <a16:creationId xmlns:a16="http://schemas.microsoft.com/office/drawing/2014/main" id="{C7B5D915-9B25-4C00-BF0F-7509A93EB2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100012</xdr:colOff>
      <xdr:row>11</xdr:row>
      <xdr:rowOff>157162</xdr:rowOff>
    </xdr:from>
    <xdr:to>
      <xdr:col>14</xdr:col>
      <xdr:colOff>404812</xdr:colOff>
      <xdr:row>27</xdr:row>
      <xdr:rowOff>4762</xdr:rowOff>
    </xdr:to>
    <xdr:graphicFrame macro="">
      <xdr:nvGraphicFramePr>
        <xdr:cNvPr id="2" name="Chart 1">
          <a:extLst>
            <a:ext uri="{FF2B5EF4-FFF2-40B4-BE49-F238E27FC236}">
              <a16:creationId xmlns:a16="http://schemas.microsoft.com/office/drawing/2014/main" id="{A24539F4-42C2-470F-8A36-72ABF8943B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103186</xdr:colOff>
      <xdr:row>11</xdr:row>
      <xdr:rowOff>160337</xdr:rowOff>
    </xdr:from>
    <xdr:to>
      <xdr:col>15</xdr:col>
      <xdr:colOff>495299</xdr:colOff>
      <xdr:row>27</xdr:row>
      <xdr:rowOff>7937</xdr:rowOff>
    </xdr:to>
    <xdr:graphicFrame macro="">
      <xdr:nvGraphicFramePr>
        <xdr:cNvPr id="2" name="Chart 1">
          <a:extLst>
            <a:ext uri="{FF2B5EF4-FFF2-40B4-BE49-F238E27FC236}">
              <a16:creationId xmlns:a16="http://schemas.microsoft.com/office/drawing/2014/main" id="{76CAB98E-412E-45EB-B46B-89D2342C2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1586</xdr:colOff>
      <xdr:row>9</xdr:row>
      <xdr:rowOff>1587</xdr:rowOff>
    </xdr:from>
    <xdr:to>
      <xdr:col>18</xdr:col>
      <xdr:colOff>390524</xdr:colOff>
      <xdr:row>24</xdr:row>
      <xdr:rowOff>30162</xdr:rowOff>
    </xdr:to>
    <xdr:graphicFrame macro="">
      <xdr:nvGraphicFramePr>
        <xdr:cNvPr id="2" name="Chart 1">
          <a:extLst>
            <a:ext uri="{FF2B5EF4-FFF2-40B4-BE49-F238E27FC236}">
              <a16:creationId xmlns:a16="http://schemas.microsoft.com/office/drawing/2014/main" id="{B6E1D2DC-5A49-4C14-A153-4C8E9F3377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7</xdr:col>
      <xdr:colOff>103186</xdr:colOff>
      <xdr:row>11</xdr:row>
      <xdr:rowOff>160337</xdr:rowOff>
    </xdr:from>
    <xdr:to>
      <xdr:col>15</xdr:col>
      <xdr:colOff>495299</xdr:colOff>
      <xdr:row>27</xdr:row>
      <xdr:rowOff>7937</xdr:rowOff>
    </xdr:to>
    <xdr:graphicFrame macro="">
      <xdr:nvGraphicFramePr>
        <xdr:cNvPr id="2" name="Chart 1">
          <a:extLst>
            <a:ext uri="{FF2B5EF4-FFF2-40B4-BE49-F238E27FC236}">
              <a16:creationId xmlns:a16="http://schemas.microsoft.com/office/drawing/2014/main" id="{7A5F8494-8B2F-40C4-9897-325B836907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134936</xdr:colOff>
      <xdr:row>10</xdr:row>
      <xdr:rowOff>30162</xdr:rowOff>
    </xdr:from>
    <xdr:to>
      <xdr:col>17</xdr:col>
      <xdr:colOff>523874</xdr:colOff>
      <xdr:row>25</xdr:row>
      <xdr:rowOff>58737</xdr:rowOff>
    </xdr:to>
    <xdr:graphicFrame macro="">
      <xdr:nvGraphicFramePr>
        <xdr:cNvPr id="2" name="Chart 1">
          <a:extLst>
            <a:ext uri="{FF2B5EF4-FFF2-40B4-BE49-F238E27FC236}">
              <a16:creationId xmlns:a16="http://schemas.microsoft.com/office/drawing/2014/main" id="{2700BA1B-499C-44F9-86B5-92C519349C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8</xdr:col>
      <xdr:colOff>277811</xdr:colOff>
      <xdr:row>7</xdr:row>
      <xdr:rowOff>77787</xdr:rowOff>
    </xdr:from>
    <xdr:to>
      <xdr:col>17</xdr:col>
      <xdr:colOff>57149</xdr:colOff>
      <xdr:row>22</xdr:row>
      <xdr:rowOff>106362</xdr:rowOff>
    </xdr:to>
    <xdr:graphicFrame macro="">
      <xdr:nvGraphicFramePr>
        <xdr:cNvPr id="2" name="Chart 1">
          <a:extLst>
            <a:ext uri="{FF2B5EF4-FFF2-40B4-BE49-F238E27FC236}">
              <a16:creationId xmlns:a16="http://schemas.microsoft.com/office/drawing/2014/main" id="{8C64823F-722C-45BA-BA66-82E1F2BA38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3</xdr:col>
      <xdr:colOff>1668461</xdr:colOff>
      <xdr:row>5</xdr:row>
      <xdr:rowOff>77786</xdr:rowOff>
    </xdr:from>
    <xdr:to>
      <xdr:col>15</xdr:col>
      <xdr:colOff>552450</xdr:colOff>
      <xdr:row>22</xdr:row>
      <xdr:rowOff>38100</xdr:rowOff>
    </xdr:to>
    <xdr:graphicFrame macro="">
      <xdr:nvGraphicFramePr>
        <xdr:cNvPr id="2" name="Chart 1">
          <a:extLst>
            <a:ext uri="{FF2B5EF4-FFF2-40B4-BE49-F238E27FC236}">
              <a16:creationId xmlns:a16="http://schemas.microsoft.com/office/drawing/2014/main" id="{835939FC-61FE-4E37-A030-3468F77681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790575</xdr:colOff>
      <xdr:row>15</xdr:row>
      <xdr:rowOff>44450</xdr:rowOff>
    </xdr:from>
    <xdr:to>
      <xdr:col>3</xdr:col>
      <xdr:colOff>1276350</xdr:colOff>
      <xdr:row>29</xdr:row>
      <xdr:rowOff>38100</xdr:rowOff>
    </xdr:to>
    <mc:AlternateContent xmlns:mc="http://schemas.openxmlformats.org/markup-compatibility/2006" xmlns:a14="http://schemas.microsoft.com/office/drawing/2010/main">
      <mc:Choice Requires="a14">
        <xdr:graphicFrame macro="">
          <xdr:nvGraphicFramePr>
            <xdr:cNvPr id="3" name="Size 2">
              <a:extLst>
                <a:ext uri="{FF2B5EF4-FFF2-40B4-BE49-F238E27FC236}">
                  <a16:creationId xmlns:a16="http://schemas.microsoft.com/office/drawing/2014/main" id="{E8C5F0CA-B783-0C20-EB04-882EABC04D1A}"/>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mlns="">
        <xdr:sp macro="" textlink="">
          <xdr:nvSpPr>
            <xdr:cNvPr id="0" name=""/>
            <xdr:cNvSpPr>
              <a:spLocks noTextEdit="1"/>
            </xdr:cNvSpPr>
          </xdr:nvSpPr>
          <xdr:spPr>
            <a:xfrm>
              <a:off x="2587625" y="2762250"/>
              <a:ext cx="1831975" cy="252412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5.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3</xdr:row>
      <xdr:rowOff>63500</xdr:rowOff>
    </xdr:to>
    <xdr:sp macro="" textlink="">
      <xdr:nvSpPr>
        <xdr:cNvPr id="2" name="Rectangle 1">
          <a:extLst>
            <a:ext uri="{FF2B5EF4-FFF2-40B4-BE49-F238E27FC236}">
              <a16:creationId xmlns:a16="http://schemas.microsoft.com/office/drawing/2014/main" id="{E86ACEA1-A73E-9388-E62A-12D1A2ED6780}"/>
            </a:ext>
          </a:extLst>
        </xdr:cNvPr>
        <xdr:cNvSpPr/>
      </xdr:nvSpPr>
      <xdr:spPr>
        <a:xfrm>
          <a:off x="116417" y="63500"/>
          <a:ext cx="14351000" cy="423333"/>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kern="1200"/>
            <a:t>COFFEE</a:t>
          </a:r>
          <a:r>
            <a:rPr lang="en-US" sz="3200" kern="1200" baseline="0"/>
            <a:t> SALES DASHBOARD</a:t>
          </a:r>
          <a:endParaRPr lang="en-GH" sz="3200" kern="1200"/>
        </a:p>
      </xdr:txBody>
    </xdr:sp>
    <xdr:clientData/>
  </xdr:twoCellAnchor>
  <xdr:twoCellAnchor>
    <xdr:from>
      <xdr:col>1</xdr:col>
      <xdr:colOff>0</xdr:colOff>
      <xdr:row>15</xdr:row>
      <xdr:rowOff>0</xdr:rowOff>
    </xdr:from>
    <xdr:to>
      <xdr:col>15</xdr:col>
      <xdr:colOff>609599</xdr:colOff>
      <xdr:row>41</xdr:row>
      <xdr:rowOff>0</xdr:rowOff>
    </xdr:to>
    <xdr:graphicFrame macro="">
      <xdr:nvGraphicFramePr>
        <xdr:cNvPr id="3" name="Chart 2">
          <a:extLst>
            <a:ext uri="{FF2B5EF4-FFF2-40B4-BE49-F238E27FC236}">
              <a16:creationId xmlns:a16="http://schemas.microsoft.com/office/drawing/2014/main" id="{0259B2B0-981E-4FEC-8E67-7566B4018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3</xdr:row>
      <xdr:rowOff>158750</xdr:rowOff>
    </xdr:from>
    <xdr:to>
      <xdr:col>18</xdr:col>
      <xdr:colOff>592667</xdr:colOff>
      <xdr:row>14</xdr:row>
      <xdr:rowOff>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981E6A3F-4D57-4500-AA38-9EE0CF253C5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14300" y="695325"/>
              <a:ext cx="10460567" cy="1724025"/>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20</xdr:col>
      <xdr:colOff>0</xdr:colOff>
      <xdr:row>8</xdr:row>
      <xdr:rowOff>52916</xdr:rowOff>
    </xdr:from>
    <xdr:to>
      <xdr:col>23</xdr:col>
      <xdr:colOff>85726</xdr:colOff>
      <xdr:row>14</xdr:row>
      <xdr:rowOff>1</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CE292DE1-6EF7-4743-A653-A01A3E255CDD}"/>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706100" y="1536701"/>
              <a:ext cx="1911351" cy="9207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161925</xdr:colOff>
      <xdr:row>8</xdr:row>
      <xdr:rowOff>42333</xdr:rowOff>
    </xdr:from>
    <xdr:to>
      <xdr:col>26</xdr:col>
      <xdr:colOff>0</xdr:colOff>
      <xdr:row>14</xdr:row>
      <xdr:rowOff>1</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5C73ADD1-155E-4F2F-8F42-95B333B9E48F}"/>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2693650" y="1536701"/>
              <a:ext cx="1670050" cy="9207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3</xdr:row>
      <xdr:rowOff>161925</xdr:rowOff>
    </xdr:from>
    <xdr:to>
      <xdr:col>26</xdr:col>
      <xdr:colOff>1</xdr:colOff>
      <xdr:row>7</xdr:row>
      <xdr:rowOff>169333</xdr:rowOff>
    </xdr:to>
    <mc:AlternateContent xmlns:mc="http://schemas.openxmlformats.org/markup-compatibility/2006" xmlns:a14="http://schemas.microsoft.com/office/drawing/2010/main">
      <mc:Choice Requires="a14">
        <xdr:graphicFrame macro="">
          <xdr:nvGraphicFramePr>
            <xdr:cNvPr id="7" name="Roast Type Name 1">
              <a:extLst>
                <a:ext uri="{FF2B5EF4-FFF2-40B4-BE49-F238E27FC236}">
                  <a16:creationId xmlns:a16="http://schemas.microsoft.com/office/drawing/2014/main" id="{F5DC6937-571B-4310-B46A-3DC4BC791C5A}"/>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10706100" y="688975"/>
              <a:ext cx="3657601" cy="76835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146050</xdr:colOff>
      <xdr:row>15</xdr:row>
      <xdr:rowOff>1</xdr:rowOff>
    </xdr:from>
    <xdr:to>
      <xdr:col>26</xdr:col>
      <xdr:colOff>0</xdr:colOff>
      <xdr:row>27</xdr:row>
      <xdr:rowOff>1</xdr:rowOff>
    </xdr:to>
    <xdr:graphicFrame macro="">
      <xdr:nvGraphicFramePr>
        <xdr:cNvPr id="8" name="Chart 7">
          <a:extLst>
            <a:ext uri="{FF2B5EF4-FFF2-40B4-BE49-F238E27FC236}">
              <a16:creationId xmlns:a16="http://schemas.microsoft.com/office/drawing/2014/main" id="{DB0462A0-E468-47ED-B484-4DC21A306A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0</xdr:colOff>
      <xdr:row>28</xdr:row>
      <xdr:rowOff>0</xdr:rowOff>
    </xdr:from>
    <xdr:to>
      <xdr:col>26</xdr:col>
      <xdr:colOff>0</xdr:colOff>
      <xdr:row>41</xdr:row>
      <xdr:rowOff>0</xdr:rowOff>
    </xdr:to>
    <xdr:graphicFrame macro="">
      <xdr:nvGraphicFramePr>
        <xdr:cNvPr id="10" name="Chart 9">
          <a:extLst>
            <a:ext uri="{FF2B5EF4-FFF2-40B4-BE49-F238E27FC236}">
              <a16:creationId xmlns:a16="http://schemas.microsoft.com/office/drawing/2014/main" id="{CD78E820-AC8A-49A4-8111-57EAD5834D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0</xdr:colOff>
      <xdr:row>1</xdr:row>
      <xdr:rowOff>0</xdr:rowOff>
    </xdr:from>
    <xdr:to>
      <xdr:col>24</xdr:col>
      <xdr:colOff>0</xdr:colOff>
      <xdr:row>4</xdr:row>
      <xdr:rowOff>0</xdr:rowOff>
    </xdr:to>
    <xdr:sp macro="" textlink="">
      <xdr:nvSpPr>
        <xdr:cNvPr id="2" name="Rectangle 1">
          <a:extLst>
            <a:ext uri="{FF2B5EF4-FFF2-40B4-BE49-F238E27FC236}">
              <a16:creationId xmlns:a16="http://schemas.microsoft.com/office/drawing/2014/main" id="{5679B85E-3CE8-1D49-9A17-6C5CD89AECC4}"/>
            </a:ext>
          </a:extLst>
        </xdr:cNvPr>
        <xdr:cNvSpPr/>
      </xdr:nvSpPr>
      <xdr:spPr>
        <a:xfrm>
          <a:off x="114300" y="66675"/>
          <a:ext cx="14020800" cy="542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t>Coffee Business Performance Overview</a:t>
          </a:r>
          <a:endParaRPr lang="en-GH" sz="1800" b="1" kern="1200"/>
        </a:p>
      </xdr:txBody>
    </xdr:sp>
    <xdr:clientData/>
  </xdr:twoCellAnchor>
  <xdr:twoCellAnchor>
    <xdr:from>
      <xdr:col>1</xdr:col>
      <xdr:colOff>0</xdr:colOff>
      <xdr:row>5</xdr:row>
      <xdr:rowOff>3174</xdr:rowOff>
    </xdr:from>
    <xdr:to>
      <xdr:col>4</xdr:col>
      <xdr:colOff>0</xdr:colOff>
      <xdr:row>11</xdr:row>
      <xdr:rowOff>0</xdr:rowOff>
    </xdr:to>
    <xdr:grpSp>
      <xdr:nvGrpSpPr>
        <xdr:cNvPr id="6" name="Group 5">
          <a:extLst>
            <a:ext uri="{FF2B5EF4-FFF2-40B4-BE49-F238E27FC236}">
              <a16:creationId xmlns:a16="http://schemas.microsoft.com/office/drawing/2014/main" id="{C32AA5C1-B756-4B9A-59CC-F8485AAAA43E}"/>
            </a:ext>
          </a:extLst>
        </xdr:cNvPr>
        <xdr:cNvGrpSpPr/>
      </xdr:nvGrpSpPr>
      <xdr:grpSpPr>
        <a:xfrm>
          <a:off x="116417" y="669924"/>
          <a:ext cx="1841500" cy="1076326"/>
          <a:chOff x="114300" y="793749"/>
          <a:chExt cx="1828800" cy="1082676"/>
        </a:xfrm>
      </xdr:grpSpPr>
      <xdr:sp macro="" textlink="">
        <xdr:nvSpPr>
          <xdr:cNvPr id="4" name="Rectangle 3">
            <a:extLst>
              <a:ext uri="{FF2B5EF4-FFF2-40B4-BE49-F238E27FC236}">
                <a16:creationId xmlns:a16="http://schemas.microsoft.com/office/drawing/2014/main" id="{5EAF27C5-8149-1436-6214-C9CBFC2949FA}"/>
              </a:ext>
            </a:extLst>
          </xdr:cNvPr>
          <xdr:cNvSpPr/>
        </xdr:nvSpPr>
        <xdr:spPr>
          <a:xfrm>
            <a:off x="114301" y="793749"/>
            <a:ext cx="1828799" cy="1082676"/>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Total</a:t>
            </a:r>
            <a:r>
              <a:rPr lang="en-US" sz="2000" b="1" kern="1200" baseline="0"/>
              <a:t> Sales</a:t>
            </a:r>
            <a:endParaRPr lang="en-GH" sz="2000" b="1" kern="1200"/>
          </a:p>
        </xdr:txBody>
      </xdr:sp>
      <xdr:sp macro="" textlink="kpis!C5">
        <xdr:nvSpPr>
          <xdr:cNvPr id="5" name="Rectangle 4">
            <a:extLst>
              <a:ext uri="{FF2B5EF4-FFF2-40B4-BE49-F238E27FC236}">
                <a16:creationId xmlns:a16="http://schemas.microsoft.com/office/drawing/2014/main" id="{627E1B5D-EA10-9728-3F4B-9511EBB49F32}"/>
              </a:ext>
            </a:extLst>
          </xdr:cNvPr>
          <xdr:cNvSpPr/>
        </xdr:nvSpPr>
        <xdr:spPr>
          <a:xfrm>
            <a:off x="114300" y="1101725"/>
            <a:ext cx="1828800" cy="669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463277E8-DA08-4FD0-80B5-D423AFDB91E0}" type="TxLink">
              <a:rPr lang="en-US" sz="2400" b="1" i="0" u="none" strike="noStrike" kern="1200">
                <a:solidFill>
                  <a:schemeClr val="bg1"/>
                </a:solidFill>
                <a:latin typeface="Calibri"/>
                <a:ea typeface="Calibri"/>
                <a:cs typeface="Calibri"/>
              </a:rPr>
              <a:pPr algn="ctr"/>
              <a:t> $45,134.26 </a:t>
            </a:fld>
            <a:endParaRPr lang="en-US" sz="2400" b="1" kern="1200">
              <a:solidFill>
                <a:schemeClr val="bg1"/>
              </a:solidFill>
            </a:endParaRPr>
          </a:p>
        </xdr:txBody>
      </xdr:sp>
    </xdr:grpSp>
    <xdr:clientData/>
  </xdr:twoCellAnchor>
  <xdr:twoCellAnchor>
    <xdr:from>
      <xdr:col>1</xdr:col>
      <xdr:colOff>0</xdr:colOff>
      <xdr:row>12</xdr:row>
      <xdr:rowOff>0</xdr:rowOff>
    </xdr:from>
    <xdr:to>
      <xdr:col>4</xdr:col>
      <xdr:colOff>0</xdr:colOff>
      <xdr:row>18</xdr:row>
      <xdr:rowOff>1</xdr:rowOff>
    </xdr:to>
    <xdr:grpSp>
      <xdr:nvGrpSpPr>
        <xdr:cNvPr id="7" name="Group 6">
          <a:extLst>
            <a:ext uri="{FF2B5EF4-FFF2-40B4-BE49-F238E27FC236}">
              <a16:creationId xmlns:a16="http://schemas.microsoft.com/office/drawing/2014/main" id="{C404BC23-ACEB-41E0-AA4F-97594377D5DD}"/>
            </a:ext>
          </a:extLst>
        </xdr:cNvPr>
        <xdr:cNvGrpSpPr/>
      </xdr:nvGrpSpPr>
      <xdr:grpSpPr>
        <a:xfrm>
          <a:off x="116417" y="1809750"/>
          <a:ext cx="1841500" cy="846668"/>
          <a:chOff x="114300" y="793749"/>
          <a:chExt cx="1828800" cy="1082676"/>
        </a:xfrm>
      </xdr:grpSpPr>
      <xdr:sp macro="" textlink="">
        <xdr:nvSpPr>
          <xdr:cNvPr id="8" name="Rectangle 7">
            <a:extLst>
              <a:ext uri="{FF2B5EF4-FFF2-40B4-BE49-F238E27FC236}">
                <a16:creationId xmlns:a16="http://schemas.microsoft.com/office/drawing/2014/main" id="{2B959DFE-4078-78E4-0866-03C07CC9C4DB}"/>
              </a:ext>
            </a:extLst>
          </xdr:cNvPr>
          <xdr:cNvSpPr/>
        </xdr:nvSpPr>
        <xdr:spPr>
          <a:xfrm>
            <a:off x="114301" y="793749"/>
            <a:ext cx="1828799" cy="1082676"/>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Total</a:t>
            </a:r>
            <a:r>
              <a:rPr lang="en-US" sz="2000" b="1" kern="1200" baseline="0"/>
              <a:t> Orders</a:t>
            </a:r>
            <a:endParaRPr lang="en-GH" sz="2000" b="1" kern="1200"/>
          </a:p>
        </xdr:txBody>
      </xdr:sp>
      <xdr:sp macro="" textlink="kpis!C6">
        <xdr:nvSpPr>
          <xdr:cNvPr id="9" name="Rectangle 8">
            <a:extLst>
              <a:ext uri="{FF2B5EF4-FFF2-40B4-BE49-F238E27FC236}">
                <a16:creationId xmlns:a16="http://schemas.microsoft.com/office/drawing/2014/main" id="{0A4AAD09-52EB-E585-64D6-C09864BF0863}"/>
              </a:ext>
            </a:extLst>
          </xdr:cNvPr>
          <xdr:cNvSpPr/>
        </xdr:nvSpPr>
        <xdr:spPr>
          <a:xfrm>
            <a:off x="114300" y="1185933"/>
            <a:ext cx="1828800" cy="669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EEEABAF-7116-44FF-A362-5968F3A10634}" type="TxLink">
              <a:rPr lang="en-US" sz="2400" b="1" i="0" u="none" strike="noStrike" kern="1200">
                <a:solidFill>
                  <a:schemeClr val="bg1"/>
                </a:solidFill>
                <a:latin typeface="Calibri"/>
                <a:ea typeface="Calibri"/>
                <a:cs typeface="Calibri"/>
              </a:rPr>
              <a:pPr algn="ctr"/>
              <a:t>1000</a:t>
            </a:fld>
            <a:endParaRPr lang="en-US" sz="2400" b="1" kern="1200">
              <a:solidFill>
                <a:schemeClr val="bg1"/>
              </a:solidFill>
            </a:endParaRPr>
          </a:p>
        </xdr:txBody>
      </xdr:sp>
    </xdr:grpSp>
    <xdr:clientData/>
  </xdr:twoCellAnchor>
  <xdr:twoCellAnchor>
    <xdr:from>
      <xdr:col>1</xdr:col>
      <xdr:colOff>0</xdr:colOff>
      <xdr:row>19</xdr:row>
      <xdr:rowOff>0</xdr:rowOff>
    </xdr:from>
    <xdr:to>
      <xdr:col>4</xdr:col>
      <xdr:colOff>0</xdr:colOff>
      <xdr:row>24</xdr:row>
      <xdr:rowOff>177801</xdr:rowOff>
    </xdr:to>
    <xdr:grpSp>
      <xdr:nvGrpSpPr>
        <xdr:cNvPr id="13" name="Group 12">
          <a:extLst>
            <a:ext uri="{FF2B5EF4-FFF2-40B4-BE49-F238E27FC236}">
              <a16:creationId xmlns:a16="http://schemas.microsoft.com/office/drawing/2014/main" id="{F075A1F6-6640-41CA-A1A4-559EF7C21382}"/>
            </a:ext>
          </a:extLst>
        </xdr:cNvPr>
        <xdr:cNvGrpSpPr/>
      </xdr:nvGrpSpPr>
      <xdr:grpSpPr>
        <a:xfrm>
          <a:off x="116417" y="2719917"/>
          <a:ext cx="1841500" cy="1027642"/>
          <a:chOff x="114300" y="793749"/>
          <a:chExt cx="1828800" cy="1082676"/>
        </a:xfrm>
      </xdr:grpSpPr>
      <xdr:sp macro="" textlink="">
        <xdr:nvSpPr>
          <xdr:cNvPr id="14" name="Rectangle 13">
            <a:extLst>
              <a:ext uri="{FF2B5EF4-FFF2-40B4-BE49-F238E27FC236}">
                <a16:creationId xmlns:a16="http://schemas.microsoft.com/office/drawing/2014/main" id="{130E2C63-BF2E-16CE-CAE0-519892FE568D}"/>
              </a:ext>
            </a:extLst>
          </xdr:cNvPr>
          <xdr:cNvSpPr/>
        </xdr:nvSpPr>
        <xdr:spPr>
          <a:xfrm>
            <a:off x="114301" y="793749"/>
            <a:ext cx="1828799" cy="1082676"/>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t>Customer Loyalty (%)</a:t>
            </a:r>
            <a:endParaRPr lang="en-GH" sz="1400" b="1" kern="1200"/>
          </a:p>
        </xdr:txBody>
      </xdr:sp>
      <xdr:sp macro="" textlink="kpis!C7">
        <xdr:nvSpPr>
          <xdr:cNvPr id="15" name="Rectangle 14">
            <a:extLst>
              <a:ext uri="{FF2B5EF4-FFF2-40B4-BE49-F238E27FC236}">
                <a16:creationId xmlns:a16="http://schemas.microsoft.com/office/drawing/2014/main" id="{722D0822-9480-A09B-2DDA-9286A7026906}"/>
              </a:ext>
            </a:extLst>
          </xdr:cNvPr>
          <xdr:cNvSpPr/>
        </xdr:nvSpPr>
        <xdr:spPr>
          <a:xfrm>
            <a:off x="114300" y="1101725"/>
            <a:ext cx="1828800" cy="669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2CC0048-E006-4ECA-9AD2-FFA429B23EE5}" type="TxLink">
              <a:rPr lang="en-US" sz="2400" b="1" i="0" u="none" strike="noStrike" kern="1200">
                <a:solidFill>
                  <a:schemeClr val="bg1"/>
                </a:solidFill>
                <a:latin typeface="Calibri"/>
                <a:ea typeface="Calibri"/>
                <a:cs typeface="Calibri"/>
              </a:rPr>
              <a:pPr algn="ctr"/>
              <a:t>48%</a:t>
            </a:fld>
            <a:endParaRPr lang="en-US" sz="2400" b="1" kern="1200">
              <a:solidFill>
                <a:schemeClr val="bg1"/>
              </a:solidFill>
            </a:endParaRPr>
          </a:p>
        </xdr:txBody>
      </xdr:sp>
    </xdr:grpSp>
    <xdr:clientData/>
  </xdr:twoCellAnchor>
  <xdr:twoCellAnchor editAs="oneCell">
    <xdr:from>
      <xdr:col>5</xdr:col>
      <xdr:colOff>1</xdr:colOff>
      <xdr:row>5</xdr:row>
      <xdr:rowOff>0</xdr:rowOff>
    </xdr:from>
    <xdr:to>
      <xdr:col>24</xdr:col>
      <xdr:colOff>1</xdr:colOff>
      <xdr:row>15</xdr:row>
      <xdr:rowOff>0</xdr:rowOff>
    </xdr:to>
    <mc:AlternateContent xmlns:mc="http://schemas.openxmlformats.org/markup-compatibility/2006" xmlns:tsle="http://schemas.microsoft.com/office/drawing/2012/timeslicer">
      <mc:Choice Requires="tsle">
        <xdr:graphicFrame macro="">
          <xdr:nvGraphicFramePr>
            <xdr:cNvPr id="16" name="Order Date 3">
              <a:extLst>
                <a:ext uri="{FF2B5EF4-FFF2-40B4-BE49-F238E27FC236}">
                  <a16:creationId xmlns:a16="http://schemas.microsoft.com/office/drawing/2014/main" id="{6D587E9A-0EEB-4F5F-8D95-9F6086CC46AF}"/>
                </a:ext>
              </a:extLst>
            </xdr:cNvPr>
            <xdr:cNvGraphicFramePr/>
          </xdr:nvGraphicFramePr>
          <xdr:xfrm>
            <a:off x="0" y="0"/>
            <a:ext cx="0" cy="0"/>
          </xdr:xfrm>
          <a:graphic>
            <a:graphicData uri="http://schemas.microsoft.com/office/drawing/2012/timeslicer">
              <tsle:timeslicer name="Order Date 3"/>
            </a:graphicData>
          </a:graphic>
        </xdr:graphicFrame>
      </mc:Choice>
      <mc:Fallback xmlns="">
        <xdr:sp macro="" textlink="">
          <xdr:nvSpPr>
            <xdr:cNvPr id="0" name=""/>
            <xdr:cNvSpPr>
              <a:spLocks noTextEdit="1"/>
            </xdr:cNvSpPr>
          </xdr:nvSpPr>
          <xdr:spPr>
            <a:xfrm>
              <a:off x="2057401" y="676275"/>
              <a:ext cx="11087100" cy="1581150"/>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5</xdr:col>
      <xdr:colOff>0</xdr:colOff>
      <xdr:row>16</xdr:row>
      <xdr:rowOff>9525</xdr:rowOff>
    </xdr:from>
    <xdr:to>
      <xdr:col>10</xdr:col>
      <xdr:colOff>0</xdr:colOff>
      <xdr:row>21</xdr:row>
      <xdr:rowOff>0</xdr:rowOff>
    </xdr:to>
    <mc:AlternateContent xmlns:mc="http://schemas.openxmlformats.org/markup-compatibility/2006" xmlns:a14="http://schemas.microsoft.com/office/drawing/2010/main">
      <mc:Choice Requires="a14">
        <xdr:graphicFrame macro="">
          <xdr:nvGraphicFramePr>
            <xdr:cNvPr id="17" name="Coffee Type Name 1">
              <a:extLst>
                <a:ext uri="{FF2B5EF4-FFF2-40B4-BE49-F238E27FC236}">
                  <a16:creationId xmlns:a16="http://schemas.microsoft.com/office/drawing/2014/main" id="{CF21EED9-CFEF-46C0-9B80-766517C76F68}"/>
                </a:ext>
              </a:extLst>
            </xdr:cNvPr>
            <xdr:cNvGraphicFramePr/>
          </xdr:nvGraphicFramePr>
          <xdr:xfrm>
            <a:off x="0" y="0"/>
            <a:ext cx="0" cy="0"/>
          </xdr:xfrm>
          <a:graphic>
            <a:graphicData uri="http://schemas.microsoft.com/office/drawing/2010/slicer">
              <sle:slicer xmlns:sle="http://schemas.microsoft.com/office/drawing/2010/slicer" name="Coffee Type Name 1"/>
            </a:graphicData>
          </a:graphic>
        </xdr:graphicFrame>
      </mc:Choice>
      <mc:Fallback xmlns="">
        <xdr:sp macro="" textlink="">
          <xdr:nvSpPr>
            <xdr:cNvPr id="0" name=""/>
            <xdr:cNvSpPr>
              <a:spLocks noTextEdit="1"/>
            </xdr:cNvSpPr>
          </xdr:nvSpPr>
          <xdr:spPr>
            <a:xfrm>
              <a:off x="2057400" y="2330450"/>
              <a:ext cx="3048000" cy="727075"/>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21</xdr:row>
      <xdr:rowOff>47625</xdr:rowOff>
    </xdr:from>
    <xdr:to>
      <xdr:col>10</xdr:col>
      <xdr:colOff>0</xdr:colOff>
      <xdr:row>25</xdr:row>
      <xdr:rowOff>19050</xdr:rowOff>
    </xdr:to>
    <mc:AlternateContent xmlns:mc="http://schemas.openxmlformats.org/markup-compatibility/2006" xmlns:a14="http://schemas.microsoft.com/office/drawing/2010/main">
      <mc:Choice Requires="a14">
        <xdr:graphicFrame macro="">
          <xdr:nvGraphicFramePr>
            <xdr:cNvPr id="18" name="Roast Type Name 3">
              <a:extLst>
                <a:ext uri="{FF2B5EF4-FFF2-40B4-BE49-F238E27FC236}">
                  <a16:creationId xmlns:a16="http://schemas.microsoft.com/office/drawing/2014/main" id="{E0164946-65C2-49A3-B13E-ACC291958A18}"/>
                </a:ext>
              </a:extLst>
            </xdr:cNvPr>
            <xdr:cNvGraphicFramePr/>
          </xdr:nvGraphicFramePr>
          <xdr:xfrm>
            <a:off x="0" y="0"/>
            <a:ext cx="0" cy="0"/>
          </xdr:xfrm>
          <a:graphic>
            <a:graphicData uri="http://schemas.microsoft.com/office/drawing/2010/slicer">
              <sle:slicer xmlns:sle="http://schemas.microsoft.com/office/drawing/2010/slicer" name="Roast Type Name 3"/>
            </a:graphicData>
          </a:graphic>
        </xdr:graphicFrame>
      </mc:Choice>
      <mc:Fallback xmlns="">
        <xdr:sp macro="" textlink="">
          <xdr:nvSpPr>
            <xdr:cNvPr id="0" name=""/>
            <xdr:cNvSpPr>
              <a:spLocks noTextEdit="1"/>
            </xdr:cNvSpPr>
          </xdr:nvSpPr>
          <xdr:spPr>
            <a:xfrm>
              <a:off x="2057400" y="3101975"/>
              <a:ext cx="3048000" cy="698500"/>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114299</xdr:colOff>
      <xdr:row>30</xdr:row>
      <xdr:rowOff>0</xdr:rowOff>
    </xdr:from>
    <xdr:to>
      <xdr:col>24</xdr:col>
      <xdr:colOff>0</xdr:colOff>
      <xdr:row>45</xdr:row>
      <xdr:rowOff>0</xdr:rowOff>
    </xdr:to>
    <xdr:graphicFrame macro="">
      <xdr:nvGraphicFramePr>
        <xdr:cNvPr id="19" name="Chart 18">
          <a:extLst>
            <a:ext uri="{FF2B5EF4-FFF2-40B4-BE49-F238E27FC236}">
              <a16:creationId xmlns:a16="http://schemas.microsoft.com/office/drawing/2014/main" id="{132E56FA-1479-4893-9A80-57C666910C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25</xdr:row>
      <xdr:rowOff>66674</xdr:rowOff>
    </xdr:from>
    <xdr:to>
      <xdr:col>10</xdr:col>
      <xdr:colOff>0</xdr:colOff>
      <xdr:row>44</xdr:row>
      <xdr:rowOff>180974</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4C208E8C-63AD-4BE5-A4AB-D3A755A7DD4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4300" y="3851274"/>
              <a:ext cx="4991100" cy="3324225"/>
            </a:xfrm>
            <a:prstGeom prst="rect">
              <a:avLst/>
            </a:prstGeom>
            <a:solidFill>
              <a:prstClr val="white"/>
            </a:solidFill>
            <a:ln w="1">
              <a:solidFill>
                <a:prstClr val="green"/>
              </a:solidFill>
            </a:ln>
          </xdr:spPr>
          <xdr:txBody>
            <a:bodyPr vertOverflow="clip" horzOverflow="clip"/>
            <a:lstStyle/>
            <a:p>
              <a:r>
                <a:rPr lang="en-GH"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0</xdr:colOff>
      <xdr:row>15</xdr:row>
      <xdr:rowOff>158750</xdr:rowOff>
    </xdr:from>
    <xdr:to>
      <xdr:col>24</xdr:col>
      <xdr:colOff>0</xdr:colOff>
      <xdr:row>29</xdr:row>
      <xdr:rowOff>0</xdr:rowOff>
    </xdr:to>
    <xdr:graphicFrame macro="">
      <xdr:nvGraphicFramePr>
        <xdr:cNvPr id="21" name="Chart 20">
          <a:extLst>
            <a:ext uri="{FF2B5EF4-FFF2-40B4-BE49-F238E27FC236}">
              <a16:creationId xmlns:a16="http://schemas.microsoft.com/office/drawing/2014/main" id="{20F0FB2D-AE2C-473B-9377-B7878600A9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6</xdr:col>
      <xdr:colOff>114299</xdr:colOff>
      <xdr:row>46</xdr:row>
      <xdr:rowOff>0</xdr:rowOff>
    </xdr:from>
    <xdr:to>
      <xdr:col>18</xdr:col>
      <xdr:colOff>0</xdr:colOff>
      <xdr:row>59</xdr:row>
      <xdr:rowOff>160339</xdr:rowOff>
    </xdr:to>
    <xdr:graphicFrame macro="">
      <xdr:nvGraphicFramePr>
        <xdr:cNvPr id="2" name="Chart 1">
          <a:extLst>
            <a:ext uri="{FF2B5EF4-FFF2-40B4-BE49-F238E27FC236}">
              <a16:creationId xmlns:a16="http://schemas.microsoft.com/office/drawing/2014/main" id="{7BC3C8E9-1642-414B-8A05-0096C2B47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22</xdr:row>
      <xdr:rowOff>0</xdr:rowOff>
    </xdr:from>
    <xdr:to>
      <xdr:col>18</xdr:col>
      <xdr:colOff>0</xdr:colOff>
      <xdr:row>33</xdr:row>
      <xdr:rowOff>0</xdr:rowOff>
    </xdr:to>
    <xdr:graphicFrame macro="">
      <xdr:nvGraphicFramePr>
        <xdr:cNvPr id="3" name="Chart 2">
          <a:extLst>
            <a:ext uri="{FF2B5EF4-FFF2-40B4-BE49-F238E27FC236}">
              <a16:creationId xmlns:a16="http://schemas.microsoft.com/office/drawing/2014/main" id="{E0A746B9-3220-45FC-9CB4-138449678E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1</xdr:colOff>
      <xdr:row>34</xdr:row>
      <xdr:rowOff>0</xdr:rowOff>
    </xdr:from>
    <xdr:to>
      <xdr:col>26</xdr:col>
      <xdr:colOff>1</xdr:colOff>
      <xdr:row>45</xdr:row>
      <xdr:rowOff>0</xdr:rowOff>
    </xdr:to>
    <xdr:graphicFrame macro="">
      <xdr:nvGraphicFramePr>
        <xdr:cNvPr id="4" name="Chart 3">
          <a:extLst>
            <a:ext uri="{FF2B5EF4-FFF2-40B4-BE49-F238E27FC236}">
              <a16:creationId xmlns:a16="http://schemas.microsoft.com/office/drawing/2014/main" id="{57D1E053-7B96-45A9-9581-E1A74A6AE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0</xdr:colOff>
      <xdr:row>22</xdr:row>
      <xdr:rowOff>0</xdr:rowOff>
    </xdr:from>
    <xdr:to>
      <xdr:col>26</xdr:col>
      <xdr:colOff>0</xdr:colOff>
      <xdr:row>33</xdr:row>
      <xdr:rowOff>6350</xdr:rowOff>
    </xdr:to>
    <xdr:graphicFrame macro="">
      <xdr:nvGraphicFramePr>
        <xdr:cNvPr id="5" name="Chart 4">
          <a:extLst>
            <a:ext uri="{FF2B5EF4-FFF2-40B4-BE49-F238E27FC236}">
              <a16:creationId xmlns:a16="http://schemas.microsoft.com/office/drawing/2014/main" id="{43CCCD20-0C17-4AAF-98E8-D5F37547EB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0</xdr:colOff>
      <xdr:row>34</xdr:row>
      <xdr:rowOff>3174</xdr:rowOff>
    </xdr:from>
    <xdr:to>
      <xdr:col>18</xdr:col>
      <xdr:colOff>0</xdr:colOff>
      <xdr:row>45</xdr:row>
      <xdr:rowOff>0</xdr:rowOff>
    </xdr:to>
    <xdr:graphicFrame macro="">
      <xdr:nvGraphicFramePr>
        <xdr:cNvPr id="6" name="Chart 5">
          <a:extLst>
            <a:ext uri="{FF2B5EF4-FFF2-40B4-BE49-F238E27FC236}">
              <a16:creationId xmlns:a16="http://schemas.microsoft.com/office/drawing/2014/main" id="{9F504A1D-945A-42AE-9A30-1B8ADE3607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40</xdr:row>
      <xdr:rowOff>0</xdr:rowOff>
    </xdr:from>
    <xdr:to>
      <xdr:col>6</xdr:col>
      <xdr:colOff>0</xdr:colOff>
      <xdr:row>60</xdr:row>
      <xdr:rowOff>0</xdr:rowOff>
    </xdr:to>
    <xdr:graphicFrame macro="">
      <xdr:nvGraphicFramePr>
        <xdr:cNvPr id="8" name="Chart 7">
          <a:extLst>
            <a:ext uri="{FF2B5EF4-FFF2-40B4-BE49-F238E27FC236}">
              <a16:creationId xmlns:a16="http://schemas.microsoft.com/office/drawing/2014/main" id="{B132A499-4ABB-4EBF-8EBF-D982A44C62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15</xdr:row>
      <xdr:rowOff>0</xdr:rowOff>
    </xdr:from>
    <xdr:to>
      <xdr:col>6</xdr:col>
      <xdr:colOff>0</xdr:colOff>
      <xdr:row>39</xdr:row>
      <xdr:rowOff>1</xdr:rowOff>
    </xdr:to>
    <xdr:graphicFrame macro="">
      <xdr:nvGraphicFramePr>
        <xdr:cNvPr id="9" name="Chart 8">
          <a:extLst>
            <a:ext uri="{FF2B5EF4-FFF2-40B4-BE49-F238E27FC236}">
              <a16:creationId xmlns:a16="http://schemas.microsoft.com/office/drawing/2014/main" id="{E812B880-4E2D-4173-9F91-EA191DDE08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46</xdr:row>
      <xdr:rowOff>0</xdr:rowOff>
    </xdr:from>
    <xdr:to>
      <xdr:col>26</xdr:col>
      <xdr:colOff>0</xdr:colOff>
      <xdr:row>60</xdr:row>
      <xdr:rowOff>0</xdr:rowOff>
    </xdr:to>
    <xdr:graphicFrame macro="">
      <xdr:nvGraphicFramePr>
        <xdr:cNvPr id="10" name="Chart 9">
          <a:extLst>
            <a:ext uri="{FF2B5EF4-FFF2-40B4-BE49-F238E27FC236}">
              <a16:creationId xmlns:a16="http://schemas.microsoft.com/office/drawing/2014/main" id="{55FBD5EC-4501-4C3A-A062-A8C3BDBCF4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6</xdr:col>
      <xdr:colOff>105679</xdr:colOff>
      <xdr:row>5</xdr:row>
      <xdr:rowOff>0</xdr:rowOff>
    </xdr:from>
    <xdr:to>
      <xdr:col>25</xdr:col>
      <xdr:colOff>612320</xdr:colOff>
      <xdr:row>14</xdr:row>
      <xdr:rowOff>0</xdr:rowOff>
    </xdr:to>
    <mc:AlternateContent xmlns:mc="http://schemas.openxmlformats.org/markup-compatibility/2006" xmlns:tsle="http://schemas.microsoft.com/office/drawing/2012/timeslicer">
      <mc:Choice Requires="tsle">
        <xdr:graphicFrame macro="">
          <xdr:nvGraphicFramePr>
            <xdr:cNvPr id="11" name="Order Date 4">
              <a:extLst>
                <a:ext uri="{FF2B5EF4-FFF2-40B4-BE49-F238E27FC236}">
                  <a16:creationId xmlns:a16="http://schemas.microsoft.com/office/drawing/2014/main" id="{FA74CFEC-25C1-44DC-9524-74CB92207472}"/>
                </a:ext>
              </a:extLst>
            </xdr:cNvPr>
            <xdr:cNvGraphicFramePr/>
          </xdr:nvGraphicFramePr>
          <xdr:xfrm>
            <a:off x="0" y="0"/>
            <a:ext cx="0" cy="0"/>
          </xdr:xfrm>
          <a:graphic>
            <a:graphicData uri="http://schemas.microsoft.com/office/drawing/2012/timeslicer">
              <tsle:timeslicer name="Order Date 4"/>
            </a:graphicData>
          </a:graphic>
        </xdr:graphicFrame>
      </mc:Choice>
      <mc:Fallback xmlns="">
        <xdr:sp macro="" textlink="">
          <xdr:nvSpPr>
            <xdr:cNvPr id="0" name=""/>
            <xdr:cNvSpPr>
              <a:spLocks noTextEdit="1"/>
            </xdr:cNvSpPr>
          </xdr:nvSpPr>
          <xdr:spPr>
            <a:xfrm>
              <a:off x="3276600" y="676275"/>
              <a:ext cx="9105900" cy="1514475"/>
            </a:xfrm>
            <a:prstGeom prst="rect">
              <a:avLst/>
            </a:prstGeom>
            <a:solidFill>
              <a:prstClr val="white"/>
            </a:solidFill>
            <a:ln w="1">
              <a:solidFill>
                <a:prstClr val="green"/>
              </a:solidFill>
            </a:ln>
          </xdr:spPr>
          <xdr:txBody>
            <a:bodyPr vertOverflow="clip" horzOverflow="clip"/>
            <a:lstStyle/>
            <a:p>
              <a:r>
                <a:rPr lang="en-GH" sz="1100"/>
                <a:t>Timeline: Works in Excel 2013 or higher. Do not move or resize.</a:t>
              </a:r>
            </a:p>
          </xdr:txBody>
        </xdr:sp>
      </mc:Fallback>
    </mc:AlternateContent>
    <xdr:clientData/>
  </xdr:twoCellAnchor>
  <xdr:twoCellAnchor editAs="oneCell">
    <xdr:from>
      <xdr:col>1</xdr:col>
      <xdr:colOff>0</xdr:colOff>
      <xdr:row>4</xdr:row>
      <xdr:rowOff>66674</xdr:rowOff>
    </xdr:from>
    <xdr:to>
      <xdr:col>4</xdr:col>
      <xdr:colOff>0</xdr:colOff>
      <xdr:row>13</xdr:row>
      <xdr:rowOff>180974</xdr:rowOff>
    </xdr:to>
    <mc:AlternateContent xmlns:mc="http://schemas.openxmlformats.org/markup-compatibility/2006">
      <mc:Choice xmlns:a14="http://schemas.microsoft.com/office/drawing/2010/main" Requires="a14">
        <xdr:graphicFrame macro="">
          <xdr:nvGraphicFramePr>
            <xdr:cNvPr id="13" name="Roast Type Name 4">
              <a:extLst>
                <a:ext uri="{FF2B5EF4-FFF2-40B4-BE49-F238E27FC236}">
                  <a16:creationId xmlns:a16="http://schemas.microsoft.com/office/drawing/2014/main" id="{D342E84A-ED6B-4343-9748-7C973C03DC9C}"/>
                </a:ext>
              </a:extLst>
            </xdr:cNvPr>
            <xdr:cNvGraphicFramePr/>
          </xdr:nvGraphicFramePr>
          <xdr:xfrm>
            <a:off x="0" y="0"/>
            <a:ext cx="0" cy="0"/>
          </xdr:xfrm>
          <a:graphic>
            <a:graphicData uri="http://schemas.microsoft.com/office/drawing/2010/slicer">
              <sle:slicer xmlns:sle="http://schemas.microsoft.com/office/drawing/2010/slicer" name="Roast Type Name 4"/>
            </a:graphicData>
          </a:graphic>
        </xdr:graphicFrame>
      </mc:Choice>
      <mc:Fallback>
        <xdr:sp macro="" textlink="">
          <xdr:nvSpPr>
            <xdr:cNvPr id="0" name=""/>
            <xdr:cNvSpPr>
              <a:spLocks noTextEdit="1"/>
            </xdr:cNvSpPr>
          </xdr:nvSpPr>
          <xdr:spPr>
            <a:xfrm>
              <a:off x="108857" y="668563"/>
              <a:ext cx="1836964" cy="1488622"/>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15</xdr:row>
      <xdr:rowOff>3174</xdr:rowOff>
    </xdr:from>
    <xdr:to>
      <xdr:col>11</xdr:col>
      <xdr:colOff>152400</xdr:colOff>
      <xdr:row>21</xdr:row>
      <xdr:rowOff>0</xdr:rowOff>
    </xdr:to>
    <xdr:grpSp>
      <xdr:nvGrpSpPr>
        <xdr:cNvPr id="14" name="Group 13">
          <a:extLst>
            <a:ext uri="{FF2B5EF4-FFF2-40B4-BE49-F238E27FC236}">
              <a16:creationId xmlns:a16="http://schemas.microsoft.com/office/drawing/2014/main" id="{E4EEE6AF-EB13-4E45-A7D9-2B38DBD3D4B8}"/>
            </a:ext>
          </a:extLst>
        </xdr:cNvPr>
        <xdr:cNvGrpSpPr/>
      </xdr:nvGrpSpPr>
      <xdr:grpSpPr>
        <a:xfrm>
          <a:off x="3279321" y="2221138"/>
          <a:ext cx="2098222" cy="949326"/>
          <a:chOff x="114300" y="793749"/>
          <a:chExt cx="1828800" cy="1082676"/>
        </a:xfrm>
      </xdr:grpSpPr>
      <xdr:sp macro="" textlink="">
        <xdr:nvSpPr>
          <xdr:cNvPr id="15" name="Rectangle 14">
            <a:extLst>
              <a:ext uri="{FF2B5EF4-FFF2-40B4-BE49-F238E27FC236}">
                <a16:creationId xmlns:a16="http://schemas.microsoft.com/office/drawing/2014/main" id="{711CBE6C-79A8-B001-30D7-5304F066FDBB}"/>
              </a:ext>
            </a:extLst>
          </xdr:cNvPr>
          <xdr:cNvSpPr/>
        </xdr:nvSpPr>
        <xdr:spPr>
          <a:xfrm>
            <a:off x="114301" y="793749"/>
            <a:ext cx="1828799" cy="1082676"/>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Total</a:t>
            </a:r>
            <a:r>
              <a:rPr lang="en-US" sz="2000" b="1" kern="1200" baseline="0"/>
              <a:t> Sales</a:t>
            </a:r>
            <a:endParaRPr lang="en-GH" sz="2000" b="1" kern="1200"/>
          </a:p>
        </xdr:txBody>
      </xdr:sp>
      <xdr:sp macro="" textlink="kpis!F8">
        <xdr:nvSpPr>
          <xdr:cNvPr id="16" name="Rectangle 15">
            <a:extLst>
              <a:ext uri="{FF2B5EF4-FFF2-40B4-BE49-F238E27FC236}">
                <a16:creationId xmlns:a16="http://schemas.microsoft.com/office/drawing/2014/main" id="{0A341065-B17E-CC28-C97F-4E8C30438B2A}"/>
              </a:ext>
            </a:extLst>
          </xdr:cNvPr>
          <xdr:cNvSpPr/>
        </xdr:nvSpPr>
        <xdr:spPr>
          <a:xfrm>
            <a:off x="114300" y="1197568"/>
            <a:ext cx="1828800" cy="669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D09FA39-8627-4F2A-A247-1B329CE38B24}" type="TxLink">
              <a:rPr lang="en-US" sz="2400" b="1" i="0" u="none" strike="noStrike" kern="1200">
                <a:solidFill>
                  <a:schemeClr val="bg1"/>
                </a:solidFill>
                <a:latin typeface="Calibri"/>
                <a:ea typeface="Calibri"/>
                <a:cs typeface="Calibri"/>
              </a:rPr>
              <a:t> $45,134.26 </a:t>
            </a:fld>
            <a:endParaRPr lang="en-US" sz="2400" b="1" kern="1200">
              <a:solidFill>
                <a:schemeClr val="bg1"/>
              </a:solidFill>
            </a:endParaRPr>
          </a:p>
        </xdr:txBody>
      </xdr:sp>
    </xdr:grpSp>
    <xdr:clientData/>
  </xdr:twoCellAnchor>
  <xdr:twoCellAnchor>
    <xdr:from>
      <xdr:col>1</xdr:col>
      <xdr:colOff>1</xdr:colOff>
      <xdr:row>1</xdr:row>
      <xdr:rowOff>0</xdr:rowOff>
    </xdr:from>
    <xdr:to>
      <xdr:col>26</xdr:col>
      <xdr:colOff>1</xdr:colOff>
      <xdr:row>4</xdr:row>
      <xdr:rowOff>0</xdr:rowOff>
    </xdr:to>
    <xdr:sp macro="" textlink="">
      <xdr:nvSpPr>
        <xdr:cNvPr id="17" name="Rectangle 16">
          <a:extLst>
            <a:ext uri="{FF2B5EF4-FFF2-40B4-BE49-F238E27FC236}">
              <a16:creationId xmlns:a16="http://schemas.microsoft.com/office/drawing/2014/main" id="{529A119D-690F-48B4-BC7D-2AC26CA36BD3}"/>
            </a:ext>
          </a:extLst>
        </xdr:cNvPr>
        <xdr:cNvSpPr/>
      </xdr:nvSpPr>
      <xdr:spPr>
        <a:xfrm>
          <a:off x="108858" y="68036"/>
          <a:ext cx="12287250" cy="530678"/>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Coffee Sales and Profit Insights by Country and Product</a:t>
          </a:r>
          <a:endParaRPr lang="en-GH" sz="2000" b="1" kern="1200"/>
        </a:p>
      </xdr:txBody>
    </xdr:sp>
    <xdr:clientData/>
  </xdr:twoCellAnchor>
  <xdr:twoCellAnchor editAs="oneCell">
    <xdr:from>
      <xdr:col>4</xdr:col>
      <xdr:colOff>171450</xdr:colOff>
      <xdr:row>5</xdr:row>
      <xdr:rowOff>0</xdr:rowOff>
    </xdr:from>
    <xdr:to>
      <xdr:col>6</xdr:col>
      <xdr:colOff>0</xdr:colOff>
      <xdr:row>14</xdr:row>
      <xdr:rowOff>0</xdr:rowOff>
    </xdr:to>
    <mc:AlternateContent xmlns:mc="http://schemas.openxmlformats.org/markup-compatibility/2006">
      <mc:Choice xmlns:a14="http://schemas.microsoft.com/office/drawing/2010/main" Requires="a14">
        <xdr:graphicFrame macro="">
          <xdr:nvGraphicFramePr>
            <xdr:cNvPr id="18" name="Size 3">
              <a:extLst>
                <a:ext uri="{FF2B5EF4-FFF2-40B4-BE49-F238E27FC236}">
                  <a16:creationId xmlns:a16="http://schemas.microsoft.com/office/drawing/2014/main" id="{0CD75482-9D44-48B8-9617-0F6A553C146C}"/>
                </a:ext>
              </a:extLst>
            </xdr:cNvPr>
            <xdr:cNvGraphicFramePr/>
          </xdr:nvGraphicFramePr>
          <xdr:xfrm>
            <a:off x="0" y="0"/>
            <a:ext cx="0" cy="0"/>
          </xdr:xfrm>
          <a:graphic>
            <a:graphicData uri="http://schemas.microsoft.com/office/drawing/2010/slicer">
              <sle:slicer xmlns:sle="http://schemas.microsoft.com/office/drawing/2010/slicer" name="Size 3"/>
            </a:graphicData>
          </a:graphic>
        </xdr:graphicFrame>
      </mc:Choice>
      <mc:Fallback>
        <xdr:sp macro="" textlink="">
          <xdr:nvSpPr>
            <xdr:cNvPr id="0" name=""/>
            <xdr:cNvSpPr>
              <a:spLocks noTextEdit="1"/>
            </xdr:cNvSpPr>
          </xdr:nvSpPr>
          <xdr:spPr>
            <a:xfrm>
              <a:off x="2117271" y="666750"/>
              <a:ext cx="1053193" cy="1483179"/>
            </a:xfrm>
            <a:prstGeom prst="rect">
              <a:avLst/>
            </a:prstGeom>
            <a:solidFill>
              <a:prstClr val="white"/>
            </a:solidFill>
            <a:ln w="1">
              <a:solidFill>
                <a:prstClr val="green"/>
              </a:solidFill>
            </a:ln>
          </xdr:spPr>
          <xdr:txBody>
            <a:bodyPr vertOverflow="clip" horzOverflow="clip"/>
            <a:lstStyle/>
            <a:p>
              <a:r>
                <a:rPr lang="en-G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247650</xdr:colOff>
      <xdr:row>15</xdr:row>
      <xdr:rowOff>0</xdr:rowOff>
    </xdr:from>
    <xdr:to>
      <xdr:col>17</xdr:col>
      <xdr:colOff>298448</xdr:colOff>
      <xdr:row>21</xdr:row>
      <xdr:rowOff>1</xdr:rowOff>
    </xdr:to>
    <xdr:grpSp>
      <xdr:nvGrpSpPr>
        <xdr:cNvPr id="19" name="Group 18">
          <a:extLst>
            <a:ext uri="{FF2B5EF4-FFF2-40B4-BE49-F238E27FC236}">
              <a16:creationId xmlns:a16="http://schemas.microsoft.com/office/drawing/2014/main" id="{35A56AAD-3582-4609-B963-8592E50195D4}"/>
            </a:ext>
          </a:extLst>
        </xdr:cNvPr>
        <xdr:cNvGrpSpPr/>
      </xdr:nvGrpSpPr>
      <xdr:grpSpPr>
        <a:xfrm>
          <a:off x="5472793" y="2217964"/>
          <a:ext cx="2211159" cy="952501"/>
          <a:chOff x="268421" y="793749"/>
          <a:chExt cx="1748026" cy="1082676"/>
        </a:xfrm>
      </xdr:grpSpPr>
      <xdr:sp macro="" textlink="">
        <xdr:nvSpPr>
          <xdr:cNvPr id="20" name="Rectangle 19">
            <a:extLst>
              <a:ext uri="{FF2B5EF4-FFF2-40B4-BE49-F238E27FC236}">
                <a16:creationId xmlns:a16="http://schemas.microsoft.com/office/drawing/2014/main" id="{2CDBAA18-69A7-97E4-9F0E-84D3386D6CED}"/>
              </a:ext>
            </a:extLst>
          </xdr:cNvPr>
          <xdr:cNvSpPr/>
        </xdr:nvSpPr>
        <xdr:spPr>
          <a:xfrm>
            <a:off x="268421" y="793749"/>
            <a:ext cx="1748026" cy="1082676"/>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Total</a:t>
            </a:r>
            <a:r>
              <a:rPr lang="en-US" sz="2000" b="1" kern="1200" baseline="0"/>
              <a:t> Profit</a:t>
            </a:r>
            <a:endParaRPr lang="en-GH" sz="2000" b="1" kern="1200"/>
          </a:p>
        </xdr:txBody>
      </xdr:sp>
      <xdr:sp macro="" textlink="kpis!F5">
        <xdr:nvSpPr>
          <xdr:cNvPr id="21" name="Rectangle 20">
            <a:extLst>
              <a:ext uri="{FF2B5EF4-FFF2-40B4-BE49-F238E27FC236}">
                <a16:creationId xmlns:a16="http://schemas.microsoft.com/office/drawing/2014/main" id="{0746D1A5-53A0-8AB0-FCC0-02F93B885D68}"/>
              </a:ext>
            </a:extLst>
          </xdr:cNvPr>
          <xdr:cNvSpPr/>
        </xdr:nvSpPr>
        <xdr:spPr>
          <a:xfrm>
            <a:off x="391056" y="1197098"/>
            <a:ext cx="1505655" cy="669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F343953-00CF-4E9D-B0FE-CA7928BBF3CB}" type="TxLink">
              <a:rPr lang="en-US" sz="2400" b="1" i="0" u="none" strike="noStrike" kern="1200">
                <a:solidFill>
                  <a:schemeClr val="bg1"/>
                </a:solidFill>
                <a:latin typeface="Calibri"/>
                <a:ea typeface="Calibri"/>
                <a:cs typeface="Calibri"/>
              </a:rPr>
              <a:t> $4,520.22 </a:t>
            </a:fld>
            <a:endParaRPr lang="en-US" sz="2400" b="1" kern="1200">
              <a:solidFill>
                <a:schemeClr val="bg1"/>
              </a:solidFill>
            </a:endParaRPr>
          </a:p>
        </xdr:txBody>
      </xdr:sp>
    </xdr:grpSp>
    <xdr:clientData/>
  </xdr:twoCellAnchor>
  <xdr:twoCellAnchor>
    <xdr:from>
      <xdr:col>17</xdr:col>
      <xdr:colOff>400050</xdr:colOff>
      <xdr:row>15</xdr:row>
      <xdr:rowOff>3174</xdr:rowOff>
    </xdr:from>
    <xdr:to>
      <xdr:col>22</xdr:col>
      <xdr:colOff>0</xdr:colOff>
      <xdr:row>21</xdr:row>
      <xdr:rowOff>0</xdr:rowOff>
    </xdr:to>
    <xdr:grpSp>
      <xdr:nvGrpSpPr>
        <xdr:cNvPr id="22" name="Group 21">
          <a:extLst>
            <a:ext uri="{FF2B5EF4-FFF2-40B4-BE49-F238E27FC236}">
              <a16:creationId xmlns:a16="http://schemas.microsoft.com/office/drawing/2014/main" id="{657A88CC-D616-4D7F-BFC5-E6F4914CD1AC}"/>
            </a:ext>
          </a:extLst>
        </xdr:cNvPr>
        <xdr:cNvGrpSpPr/>
      </xdr:nvGrpSpPr>
      <xdr:grpSpPr>
        <a:xfrm>
          <a:off x="7788729" y="2221138"/>
          <a:ext cx="2158092" cy="949326"/>
          <a:chOff x="114300" y="793749"/>
          <a:chExt cx="1828800" cy="1082676"/>
        </a:xfrm>
      </xdr:grpSpPr>
      <xdr:sp macro="" textlink="">
        <xdr:nvSpPr>
          <xdr:cNvPr id="23" name="Rectangle 22">
            <a:extLst>
              <a:ext uri="{FF2B5EF4-FFF2-40B4-BE49-F238E27FC236}">
                <a16:creationId xmlns:a16="http://schemas.microsoft.com/office/drawing/2014/main" id="{099DA834-ED97-FBD7-024C-5CE3086C4117}"/>
              </a:ext>
            </a:extLst>
          </xdr:cNvPr>
          <xdr:cNvSpPr/>
        </xdr:nvSpPr>
        <xdr:spPr>
          <a:xfrm>
            <a:off x="114301" y="793749"/>
            <a:ext cx="1828799" cy="1082676"/>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kern="1200"/>
              <a:t>Avg</a:t>
            </a:r>
            <a:r>
              <a:rPr lang="en-US" sz="1600" b="1" kern="1200" baseline="0"/>
              <a:t> QTY of Coffee Sold</a:t>
            </a:r>
            <a:endParaRPr lang="en-GH" sz="1600" b="1" kern="1200"/>
          </a:p>
        </xdr:txBody>
      </xdr:sp>
      <xdr:sp macro="" textlink="kpis!F7">
        <xdr:nvSpPr>
          <xdr:cNvPr id="24" name="Rectangle 23">
            <a:extLst>
              <a:ext uri="{FF2B5EF4-FFF2-40B4-BE49-F238E27FC236}">
                <a16:creationId xmlns:a16="http://schemas.microsoft.com/office/drawing/2014/main" id="{1D5F855A-6BB8-3C9F-C131-B7D6CCDA0DD4}"/>
              </a:ext>
            </a:extLst>
          </xdr:cNvPr>
          <xdr:cNvSpPr/>
        </xdr:nvSpPr>
        <xdr:spPr>
          <a:xfrm>
            <a:off x="114300" y="1197568"/>
            <a:ext cx="1828800" cy="669925"/>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B0F20C8-D406-4B78-B656-351CF7B3BFCD}" type="TxLink">
              <a:rPr lang="en-US" sz="2400" b="1" i="0" u="none" strike="noStrike" kern="1200">
                <a:solidFill>
                  <a:schemeClr val="bg1"/>
                </a:solidFill>
                <a:latin typeface="Calibri"/>
                <a:ea typeface="Calibri"/>
                <a:cs typeface="Calibri"/>
              </a:rPr>
              <a:t>4</a:t>
            </a:fld>
            <a:endParaRPr lang="en-US" sz="2400" b="1" kern="1200">
              <a:solidFill>
                <a:schemeClr val="bg1"/>
              </a:solidFill>
            </a:endParaRPr>
          </a:p>
        </xdr:txBody>
      </xdr:sp>
    </xdr:grpSp>
    <xdr:clientData/>
  </xdr:twoCellAnchor>
  <xdr:twoCellAnchor>
    <xdr:from>
      <xdr:col>22</xdr:col>
      <xdr:colOff>123825</xdr:colOff>
      <xdr:row>15</xdr:row>
      <xdr:rowOff>0</xdr:rowOff>
    </xdr:from>
    <xdr:to>
      <xdr:col>25</xdr:col>
      <xdr:colOff>609598</xdr:colOff>
      <xdr:row>21</xdr:row>
      <xdr:rowOff>1</xdr:rowOff>
    </xdr:to>
    <xdr:grpSp>
      <xdr:nvGrpSpPr>
        <xdr:cNvPr id="31" name="Group 30">
          <a:extLst>
            <a:ext uri="{FF2B5EF4-FFF2-40B4-BE49-F238E27FC236}">
              <a16:creationId xmlns:a16="http://schemas.microsoft.com/office/drawing/2014/main" id="{F3A519A7-0BDF-99D5-2022-35F9A3A6A111}"/>
            </a:ext>
          </a:extLst>
        </xdr:cNvPr>
        <xdr:cNvGrpSpPr/>
      </xdr:nvGrpSpPr>
      <xdr:grpSpPr>
        <a:xfrm>
          <a:off x="10067471" y="2217964"/>
          <a:ext cx="2325913" cy="952501"/>
          <a:chOff x="8696467" y="2371725"/>
          <a:chExt cx="1831832" cy="971551"/>
        </a:xfrm>
      </xdr:grpSpPr>
      <xdr:sp macro="" textlink="">
        <xdr:nvSpPr>
          <xdr:cNvPr id="29" name="Rectangle 28">
            <a:extLst>
              <a:ext uri="{FF2B5EF4-FFF2-40B4-BE49-F238E27FC236}">
                <a16:creationId xmlns:a16="http://schemas.microsoft.com/office/drawing/2014/main" id="{22C607C8-4416-EB54-CDBE-412E2995AA3E}"/>
              </a:ext>
            </a:extLst>
          </xdr:cNvPr>
          <xdr:cNvSpPr/>
        </xdr:nvSpPr>
        <xdr:spPr>
          <a:xfrm>
            <a:off x="8699500" y="2371725"/>
            <a:ext cx="1828799" cy="971551"/>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kern="1200"/>
              <a:t>Avg</a:t>
            </a:r>
            <a:r>
              <a:rPr lang="en-US" sz="2000" b="1" kern="1200" baseline="0"/>
              <a:t> Sales Value</a:t>
            </a:r>
            <a:endParaRPr lang="en-GH" sz="2000" b="1" kern="1200"/>
          </a:p>
        </xdr:txBody>
      </xdr:sp>
      <xdr:sp macro="" textlink="kpis!F6">
        <xdr:nvSpPr>
          <xdr:cNvPr id="30" name="Rectangle 29">
            <a:extLst>
              <a:ext uri="{FF2B5EF4-FFF2-40B4-BE49-F238E27FC236}">
                <a16:creationId xmlns:a16="http://schemas.microsoft.com/office/drawing/2014/main" id="{209CAEA1-6E7A-B03F-1AC0-95F0D05CD1EC}"/>
              </a:ext>
            </a:extLst>
          </xdr:cNvPr>
          <xdr:cNvSpPr/>
        </xdr:nvSpPr>
        <xdr:spPr>
          <a:xfrm>
            <a:off x="8696467" y="2714746"/>
            <a:ext cx="1828800" cy="599954"/>
          </a:xfrm>
          <a:prstGeom prst="rect">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767F982-1149-451F-95CA-00B0792A6452}" type="TxLink">
              <a:rPr lang="en-US" sz="2400" b="1" i="0" u="none" strike="noStrike" kern="1200">
                <a:solidFill>
                  <a:schemeClr val="bg1"/>
                </a:solidFill>
                <a:latin typeface="Calibri"/>
                <a:ea typeface="Calibri"/>
                <a:cs typeface="Calibri"/>
              </a:rPr>
              <a:t>45.134255</a:t>
            </a:fld>
            <a:endParaRPr lang="en-US" sz="2400" b="1" kern="1200">
              <a:solidFill>
                <a:schemeClr val="bg1"/>
              </a:solidFill>
            </a:endParaRPr>
          </a:p>
        </xdr:txBody>
      </xdr: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Dawsonn-Andoh" refreshedDate="45645.42682685185" createdVersion="8" refreshedVersion="8" minRefreshableVersion="3" recordCount="1000" xr:uid="{F2730920-4EBE-45F3-AEB3-90E1F80C5A42}">
  <cacheSource type="worksheet">
    <worksheetSource name="Orders"/>
  </cacheSource>
  <cacheFields count="22">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21"/>
    </cacheField>
    <cacheField name="Customer ID" numFmtId="0">
      <sharedItems/>
    </cacheField>
    <cacheField name="Product ID" numFmtId="0">
      <sharedItems/>
    </cacheField>
    <cacheField name="Product Details" numFmtId="0">
      <sharedItems count="48">
        <s v="Robusta-Medium-1"/>
        <s v="Excelsa-Medium-0.5"/>
        <s v="Arabica-Light-1"/>
        <s v="Excelsa-Medium-1"/>
        <s v="Robusta-Light-2.5"/>
        <s v="Liberica-Dark-1"/>
        <s v="Excelsa-Dark-0.5"/>
        <s v="Liberica-Light-0.2"/>
        <s v="Robusta-Medium-0.5"/>
        <s v="Arabica-Dark-1"/>
        <s v="Excelsa-Light-2.5"/>
        <s v="Robusta-Dark-2.5"/>
        <s v="Liberica-Dark-0.2"/>
        <s v="Robusta-Medium-2.5"/>
        <s v="Arabica-Medium-0.2"/>
        <s v="Excelsa-Dark-0.2"/>
        <s v="Arabica-Dark-0.2"/>
        <s v="Arabica-Medium-1"/>
        <s v="Excelsa-Medium-0.2"/>
        <s v="Arabica-Medium-0.5"/>
        <s v="Arabica-Dark-0.5"/>
        <s v="Liberica-Medium-0.2"/>
        <s v="Liberica-Medium-0.5"/>
        <s v="Liberica-Light-0.5"/>
        <s v="Liberica-Medium-1"/>
        <s v="Robusta-Dark-0.2"/>
        <s v="Liberica-Light-2.5"/>
        <s v="Liberica-Dark-2.5"/>
        <s v="Excelsa-Medium-2.5"/>
        <s v="Arabica-Light-0.2"/>
        <s v="Arabica-Dark-2.5"/>
        <s v="Liberica-Dark-0.5"/>
        <s v="Liberica-Light-1"/>
        <s v="Excelsa-Light-1"/>
        <s v="Robusta-Dark-0.5"/>
        <s v="Robusta-Light-0.5"/>
        <s v="Robusta-Medium-0.2"/>
        <s v="Arabica-Medium-2.5"/>
        <s v="Excelsa-Light-0.5"/>
        <s v="Robusta-Dark-1"/>
        <s v="Robusta-Light-0.2"/>
        <s v="Robusta-Light-1"/>
        <s v="Arabica-Light-0.5"/>
        <s v="Liberica-Medium-2.5"/>
        <s v="Arabica-Light-2.5"/>
        <s v="Excelsa-Dark-1"/>
        <s v="Excelsa-Light-0.2"/>
        <s v="Excelsa-Dark-2.5"/>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4">
        <s v="United States"/>
        <s v="Ireland"/>
        <s v="United Kingdom"/>
        <e v="#N/A" u="1"/>
      </sharedItems>
    </cacheField>
    <cacheField name="City" numFmtId="0">
      <sharedItems/>
    </cacheField>
    <cacheField name="Coffee Type" numFmtId="0">
      <sharedItems/>
    </cacheField>
    <cacheField name="Roast Type" numFmtId="0">
      <sharedItems/>
    </cacheField>
    <cacheField name="Size" numFmtId="168">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Profit" numFmtId="44">
      <sharedItems containsSemiMixedTypes="0" containsString="0" containsNumber="1" minValue="0.16109999999999997" maxValue="4.7391499999999995"/>
    </cacheField>
    <cacheField name="Product Profit" numFmtId="44">
      <sharedItems containsSemiMixedTypes="0" containsString="0" containsNumber="1" minValue="0.16109999999999997" maxValue="28.434899999999999"/>
    </cacheField>
    <cacheField name="Coffee Type Name" numFmtId="0">
      <sharedItems count="4">
        <s v="Robusta"/>
        <s v="Exe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895309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n v="2"/>
    <x v="0"/>
    <s v="aallner0@lulu.com"/>
    <x v="0"/>
    <s v="Paterson"/>
    <s v="Rob"/>
    <s v="M"/>
    <x v="0"/>
    <n v="9.9499999999999993"/>
    <n v="19.899999999999999"/>
    <n v="0.59699999999999998"/>
    <n v="1.194"/>
    <x v="0"/>
    <x v="0"/>
    <x v="0"/>
  </r>
  <r>
    <s v="QEV-37451-860"/>
    <x v="0"/>
    <s v="17670-51384-MA"/>
    <s v="E-M-0.5"/>
    <x v="1"/>
    <n v="5"/>
    <x v="0"/>
    <s v="aallner0@lulu.com"/>
    <x v="0"/>
    <s v="Paterson"/>
    <s v="Exc"/>
    <s v="M"/>
    <x v="1"/>
    <n v="8.25"/>
    <n v="41.25"/>
    <n v="0.90749999999999997"/>
    <n v="4.5374999999999996"/>
    <x v="1"/>
    <x v="0"/>
    <x v="0"/>
  </r>
  <r>
    <s v="FAA-43335-268"/>
    <x v="1"/>
    <s v="21125-22134-PX"/>
    <s v="A-L-1"/>
    <x v="2"/>
    <n v="1"/>
    <x v="1"/>
    <s v="jredholes2@tmall.com"/>
    <x v="0"/>
    <s v="San Antonio"/>
    <s v="Ara"/>
    <s v="L"/>
    <x v="0"/>
    <n v="12.95"/>
    <n v="12.95"/>
    <n v="1.1655"/>
    <n v="1.1655"/>
    <x v="2"/>
    <x v="1"/>
    <x v="0"/>
  </r>
  <r>
    <s v="KAC-83089-793"/>
    <x v="2"/>
    <s v="23806-46781-OU"/>
    <s v="E-M-1"/>
    <x v="3"/>
    <n v="2"/>
    <x v="2"/>
    <s v=""/>
    <x v="1"/>
    <s v="Cill Airne"/>
    <s v="Exc"/>
    <s v="M"/>
    <x v="0"/>
    <n v="13.75"/>
    <n v="27.5"/>
    <n v="1.5125"/>
    <n v="3.0249999999999999"/>
    <x v="1"/>
    <x v="0"/>
    <x v="1"/>
  </r>
  <r>
    <s v="KAC-83089-793"/>
    <x v="2"/>
    <s v="23806-46781-OU"/>
    <s v="R-L-2.5"/>
    <x v="4"/>
    <n v="2"/>
    <x v="2"/>
    <s v=""/>
    <x v="1"/>
    <s v="Cill Airne"/>
    <s v="Rob"/>
    <s v="L"/>
    <x v="2"/>
    <n v="27.484999999999996"/>
    <n v="54.969999999999992"/>
    <n v="1.6490999999999998"/>
    <n v="3.2981999999999996"/>
    <x v="0"/>
    <x v="1"/>
    <x v="1"/>
  </r>
  <r>
    <s v="CVP-18956-553"/>
    <x v="3"/>
    <s v="86561-91660-RB"/>
    <s v="L-D-1"/>
    <x v="5"/>
    <n v="3"/>
    <x v="3"/>
    <s v=""/>
    <x v="0"/>
    <s v="Scranton"/>
    <s v="Lib"/>
    <s v="D"/>
    <x v="0"/>
    <n v="12.95"/>
    <n v="38.849999999999994"/>
    <n v="1.6835"/>
    <n v="5.0504999999999995"/>
    <x v="3"/>
    <x v="2"/>
    <x v="1"/>
  </r>
  <r>
    <s v="IPP-31994-879"/>
    <x v="4"/>
    <s v="65223-29612-CB"/>
    <s v="E-D-0.5"/>
    <x v="6"/>
    <n v="3"/>
    <x v="4"/>
    <s v="slobe6@nifty.com"/>
    <x v="0"/>
    <s v="Dayton"/>
    <s v="Exc"/>
    <s v="D"/>
    <x v="1"/>
    <n v="7.29"/>
    <n v="21.87"/>
    <n v="0.80190000000000006"/>
    <n v="2.4057000000000004"/>
    <x v="1"/>
    <x v="2"/>
    <x v="0"/>
  </r>
  <r>
    <s v="SNZ-65340-705"/>
    <x v="5"/>
    <s v="21134-81676-FR"/>
    <s v="L-L-0.2"/>
    <x v="7"/>
    <n v="1"/>
    <x v="5"/>
    <s v=""/>
    <x v="1"/>
    <s v="Kill"/>
    <s v="Lib"/>
    <s v="L"/>
    <x v="3"/>
    <n v="4.7549999999999999"/>
    <n v="4.7549999999999999"/>
    <n v="0.61814999999999998"/>
    <n v="0.61814999999999998"/>
    <x v="3"/>
    <x v="1"/>
    <x v="0"/>
  </r>
  <r>
    <s v="EZT-46571-659"/>
    <x v="6"/>
    <s v="03396-68805-ZC"/>
    <s v="R-M-0.5"/>
    <x v="8"/>
    <n v="3"/>
    <x v="6"/>
    <s v="gpetracci8@livejournal.com"/>
    <x v="0"/>
    <s v="Los Angeles"/>
    <s v="Rob"/>
    <s v="M"/>
    <x v="1"/>
    <n v="5.97"/>
    <n v="17.91"/>
    <n v="0.35819999999999996"/>
    <n v="1.0745999999999998"/>
    <x v="0"/>
    <x v="0"/>
    <x v="1"/>
  </r>
  <r>
    <s v="NWQ-70061-912"/>
    <x v="0"/>
    <s v="61021-27840-ZN"/>
    <s v="R-M-0.5"/>
    <x v="8"/>
    <n v="1"/>
    <x v="7"/>
    <s v="rraven9@ed.gov"/>
    <x v="0"/>
    <s v="Los Angeles"/>
    <s v="Rob"/>
    <s v="M"/>
    <x v="1"/>
    <n v="5.97"/>
    <n v="5.97"/>
    <n v="0.35819999999999996"/>
    <n v="0.35819999999999996"/>
    <x v="0"/>
    <x v="0"/>
    <x v="1"/>
  </r>
  <r>
    <s v="BKK-47233-845"/>
    <x v="7"/>
    <s v="76239-90137-UQ"/>
    <s v="A-D-1"/>
    <x v="9"/>
    <n v="4"/>
    <x v="8"/>
    <s v="fferbera@businesswire.com"/>
    <x v="0"/>
    <s v="San Jose"/>
    <s v="Ara"/>
    <s v="D"/>
    <x v="0"/>
    <n v="9.9499999999999993"/>
    <n v="39.799999999999997"/>
    <n v="0.89549999999999985"/>
    <n v="3.5819999999999994"/>
    <x v="2"/>
    <x v="2"/>
    <x v="1"/>
  </r>
  <r>
    <s v="VQR-01002-970"/>
    <x v="8"/>
    <s v="49315-21985-BB"/>
    <s v="E-L-2.5"/>
    <x v="10"/>
    <n v="5"/>
    <x v="9"/>
    <s v="dphizackerlyb@utexas.edu"/>
    <x v="0"/>
    <s v="San Jose"/>
    <s v="Exc"/>
    <s v="L"/>
    <x v="2"/>
    <n v="34.154999999999994"/>
    <n v="170.77499999999998"/>
    <n v="3.7570499999999996"/>
    <n v="18.785249999999998"/>
    <x v="1"/>
    <x v="1"/>
    <x v="0"/>
  </r>
  <r>
    <s v="SZW-48378-399"/>
    <x v="9"/>
    <s v="34136-36674-OM"/>
    <s v="R-M-1"/>
    <x v="0"/>
    <n v="5"/>
    <x v="10"/>
    <s v="rscholarc@nyu.edu"/>
    <x v="0"/>
    <s v="Richmond"/>
    <s v="Rob"/>
    <s v="M"/>
    <x v="0"/>
    <n v="9.9499999999999993"/>
    <n v="49.75"/>
    <n v="0.59699999999999998"/>
    <n v="2.9849999999999999"/>
    <x v="0"/>
    <x v="0"/>
    <x v="1"/>
  </r>
  <r>
    <s v="ITA-87418-783"/>
    <x v="10"/>
    <s v="39396-12890-PE"/>
    <s v="R-D-2.5"/>
    <x v="11"/>
    <n v="2"/>
    <x v="11"/>
    <s v="tvanyutind@wix.com"/>
    <x v="0"/>
    <s v="Migrate"/>
    <s v="Rob"/>
    <s v="D"/>
    <x v="2"/>
    <n v="20.584999999999997"/>
    <n v="41.169999999999995"/>
    <n v="1.2350999999999999"/>
    <n v="2.4701999999999997"/>
    <x v="0"/>
    <x v="2"/>
    <x v="1"/>
  </r>
  <r>
    <s v="GNZ-46006-527"/>
    <x v="11"/>
    <s v="95875-73336-RG"/>
    <s v="L-D-0.2"/>
    <x v="12"/>
    <n v="3"/>
    <x v="12"/>
    <s v="ptrobee@wunderground.com"/>
    <x v="0"/>
    <s v="Saint Louis"/>
    <s v="Lib"/>
    <s v="D"/>
    <x v="3"/>
    <n v="3.8849999999999998"/>
    <n v="11.654999999999999"/>
    <n v="0.50505"/>
    <n v="1.51515"/>
    <x v="3"/>
    <x v="2"/>
    <x v="0"/>
  </r>
  <r>
    <s v="FYQ-78248-319"/>
    <x v="12"/>
    <s v="25473-43727-BY"/>
    <s v="R-M-2.5"/>
    <x v="13"/>
    <n v="5"/>
    <x v="13"/>
    <s v="loscroftf@ebay.co.uk"/>
    <x v="0"/>
    <s v="Philadelphia"/>
    <s v="Rob"/>
    <s v="M"/>
    <x v="2"/>
    <n v="22.884999999999998"/>
    <n v="114.42499999999998"/>
    <n v="1.3730999999999998"/>
    <n v="6.865499999999999"/>
    <x v="0"/>
    <x v="0"/>
    <x v="1"/>
  </r>
  <r>
    <s v="VAU-44387-624"/>
    <x v="13"/>
    <s v="99643-51048-IQ"/>
    <s v="A-M-0.2"/>
    <x v="14"/>
    <n v="6"/>
    <x v="14"/>
    <s v="malabasterg@hexun.com"/>
    <x v="0"/>
    <s v="Portland"/>
    <s v="Ara"/>
    <s v="M"/>
    <x v="3"/>
    <n v="3.375"/>
    <n v="20.25"/>
    <n v="0.30374999999999996"/>
    <n v="1.8224999999999998"/>
    <x v="2"/>
    <x v="0"/>
    <x v="1"/>
  </r>
  <r>
    <s v="RDW-33155-159"/>
    <x v="14"/>
    <s v="62173-15287-CU"/>
    <s v="A-L-1"/>
    <x v="2"/>
    <n v="6"/>
    <x v="15"/>
    <s v="rbroxuph@jimdo.com"/>
    <x v="0"/>
    <s v="Houston"/>
    <s v="Ara"/>
    <s v="L"/>
    <x v="0"/>
    <n v="12.95"/>
    <n v="77.699999999999989"/>
    <n v="1.1655"/>
    <n v="6.9930000000000003"/>
    <x v="2"/>
    <x v="1"/>
    <x v="1"/>
  </r>
  <r>
    <s v="TDZ-59011-211"/>
    <x v="15"/>
    <s v="57611-05522-ST"/>
    <s v="R-D-2.5"/>
    <x v="11"/>
    <n v="4"/>
    <x v="16"/>
    <s v="predfordi@ow.ly"/>
    <x v="1"/>
    <s v="Caherconlish"/>
    <s v="Rob"/>
    <s v="D"/>
    <x v="2"/>
    <n v="20.584999999999997"/>
    <n v="82.339999999999989"/>
    <n v="1.2350999999999999"/>
    <n v="4.9403999999999995"/>
    <x v="0"/>
    <x v="2"/>
    <x v="0"/>
  </r>
  <r>
    <s v="IDU-25793-399"/>
    <x v="16"/>
    <s v="76664-37050-DT"/>
    <s v="A-M-0.2"/>
    <x v="14"/>
    <n v="5"/>
    <x v="17"/>
    <s v="acorradinoj@harvard.edu"/>
    <x v="0"/>
    <s v="New York City"/>
    <s v="Ara"/>
    <s v="M"/>
    <x v="3"/>
    <n v="3.375"/>
    <n v="16.875"/>
    <n v="0.30374999999999996"/>
    <n v="1.5187499999999998"/>
    <x v="2"/>
    <x v="0"/>
    <x v="0"/>
  </r>
  <r>
    <s v="IDU-25793-399"/>
    <x v="16"/>
    <s v="76664-37050-DT"/>
    <s v="E-D-0.2"/>
    <x v="15"/>
    <n v="4"/>
    <x v="17"/>
    <s v="acorradinoj@harvard.edu"/>
    <x v="0"/>
    <s v="New York City"/>
    <s v="Exc"/>
    <s v="D"/>
    <x v="3"/>
    <n v="3.645"/>
    <n v="14.58"/>
    <n v="0.40095000000000003"/>
    <n v="1.6038000000000001"/>
    <x v="1"/>
    <x v="2"/>
    <x v="0"/>
  </r>
  <r>
    <s v="NUO-20013-488"/>
    <x v="16"/>
    <s v="03090-88267-BQ"/>
    <s v="A-D-0.2"/>
    <x v="16"/>
    <n v="6"/>
    <x v="18"/>
    <s v="adavidowskyl@netvibes.com"/>
    <x v="0"/>
    <s v="Grand Rapids"/>
    <s v="Ara"/>
    <s v="D"/>
    <x v="3"/>
    <n v="2.9849999999999999"/>
    <n v="17.91"/>
    <n v="0.26865"/>
    <n v="1.6118999999999999"/>
    <x v="2"/>
    <x v="2"/>
    <x v="1"/>
  </r>
  <r>
    <s v="UQU-65630-479"/>
    <x v="17"/>
    <s v="37651-47492-NC"/>
    <s v="R-M-2.5"/>
    <x v="13"/>
    <n v="4"/>
    <x v="19"/>
    <s v="aantukm@kickstarter.com"/>
    <x v="0"/>
    <s v="Punta Gorda"/>
    <s v="Rob"/>
    <s v="M"/>
    <x v="2"/>
    <n v="22.884999999999998"/>
    <n v="91.539999999999992"/>
    <n v="1.3730999999999998"/>
    <n v="5.4923999999999991"/>
    <x v="0"/>
    <x v="0"/>
    <x v="0"/>
  </r>
  <r>
    <s v="FEO-11834-332"/>
    <x v="18"/>
    <s v="95399-57205-HI"/>
    <s v="A-D-0.2"/>
    <x v="16"/>
    <n v="4"/>
    <x v="20"/>
    <s v="ikleinertn@timesonline.co.uk"/>
    <x v="0"/>
    <s v="Vancouver"/>
    <s v="Ara"/>
    <s v="D"/>
    <x v="3"/>
    <n v="2.9849999999999999"/>
    <n v="11.94"/>
    <n v="0.26865"/>
    <n v="1.0746"/>
    <x v="2"/>
    <x v="2"/>
    <x v="0"/>
  </r>
  <r>
    <s v="TKY-71558-096"/>
    <x v="19"/>
    <s v="24010-66714-HW"/>
    <s v="A-M-1"/>
    <x v="17"/>
    <n v="1"/>
    <x v="21"/>
    <s v="cblofeldo@amazon.co.uk"/>
    <x v="0"/>
    <s v="Englewood"/>
    <s v="Ara"/>
    <s v="M"/>
    <x v="0"/>
    <n v="11.25"/>
    <n v="11.25"/>
    <n v="1.0125"/>
    <n v="1.0125"/>
    <x v="2"/>
    <x v="0"/>
    <x v="1"/>
  </r>
  <r>
    <s v="OXY-65322-253"/>
    <x v="20"/>
    <s v="07591-92789-UA"/>
    <s v="E-M-0.2"/>
    <x v="18"/>
    <n v="3"/>
    <x v="22"/>
    <s v=""/>
    <x v="0"/>
    <s v="Punta Gorda"/>
    <s v="Exc"/>
    <s v="M"/>
    <x v="3"/>
    <n v="4.125"/>
    <n v="12.375"/>
    <n v="0.45374999999999999"/>
    <n v="1.3612500000000001"/>
    <x v="1"/>
    <x v="0"/>
    <x v="0"/>
  </r>
  <r>
    <s v="EVP-43500-491"/>
    <x v="21"/>
    <s v="49231-44455-IC"/>
    <s v="A-M-0.5"/>
    <x v="19"/>
    <n v="4"/>
    <x v="23"/>
    <s v="sshalesq@umich.edu"/>
    <x v="0"/>
    <s v="Petaluma"/>
    <s v="Ara"/>
    <s v="M"/>
    <x v="1"/>
    <n v="6.75"/>
    <n v="27"/>
    <n v="0.60749999999999993"/>
    <n v="2.4299999999999997"/>
    <x v="2"/>
    <x v="0"/>
    <x v="0"/>
  </r>
  <r>
    <s v="WAG-26945-689"/>
    <x v="22"/>
    <s v="50124-88608-EO"/>
    <s v="A-M-0.2"/>
    <x v="14"/>
    <n v="5"/>
    <x v="24"/>
    <s v="vdanneilr@mtv.com"/>
    <x v="1"/>
    <s v="Tralee"/>
    <s v="Ara"/>
    <s v="M"/>
    <x v="3"/>
    <n v="3.375"/>
    <n v="16.875"/>
    <n v="0.30374999999999996"/>
    <n v="1.5187499999999998"/>
    <x v="2"/>
    <x v="0"/>
    <x v="1"/>
  </r>
  <r>
    <s v="CHE-78995-767"/>
    <x v="23"/>
    <s v="00888-74814-UZ"/>
    <s v="A-D-0.5"/>
    <x v="20"/>
    <n v="3"/>
    <x v="25"/>
    <s v="tnewburys@usda.gov"/>
    <x v="1"/>
    <s v="Clonskeagh"/>
    <s v="Ara"/>
    <s v="D"/>
    <x v="1"/>
    <n v="5.97"/>
    <n v="17.91"/>
    <n v="0.5373"/>
    <n v="1.6118999999999999"/>
    <x v="2"/>
    <x v="2"/>
    <x v="1"/>
  </r>
  <r>
    <s v="RYZ-14633-602"/>
    <x v="21"/>
    <s v="14158-30713-OB"/>
    <s v="A-D-1"/>
    <x v="9"/>
    <n v="4"/>
    <x v="26"/>
    <s v="mcalcuttt@baidu.com"/>
    <x v="1"/>
    <s v="Rathwire"/>
    <s v="Ara"/>
    <s v="D"/>
    <x v="0"/>
    <n v="9.9499999999999993"/>
    <n v="39.799999999999997"/>
    <n v="0.89549999999999985"/>
    <n v="3.5819999999999994"/>
    <x v="2"/>
    <x v="2"/>
    <x v="0"/>
  </r>
  <r>
    <s v="WOQ-36015-429"/>
    <x v="24"/>
    <s v="51427-89175-QJ"/>
    <s v="L-M-0.2"/>
    <x v="21"/>
    <n v="5"/>
    <x v="27"/>
    <s v=""/>
    <x v="0"/>
    <s v="Aurora"/>
    <s v="Lib"/>
    <s v="M"/>
    <x v="3"/>
    <n v="4.3650000000000002"/>
    <n v="21.825000000000003"/>
    <n v="0.56745000000000001"/>
    <n v="2.83725"/>
    <x v="3"/>
    <x v="0"/>
    <x v="1"/>
  </r>
  <r>
    <s v="WOQ-36015-429"/>
    <x v="24"/>
    <s v="51427-89175-QJ"/>
    <s v="A-D-0.5"/>
    <x v="20"/>
    <n v="6"/>
    <x v="27"/>
    <s v=""/>
    <x v="0"/>
    <s v="Aurora"/>
    <s v="Ara"/>
    <s v="D"/>
    <x v="1"/>
    <n v="5.97"/>
    <n v="35.82"/>
    <n v="0.5373"/>
    <n v="3.2237999999999998"/>
    <x v="2"/>
    <x v="2"/>
    <x v="1"/>
  </r>
  <r>
    <s v="WOQ-36015-429"/>
    <x v="24"/>
    <s v="51427-89175-QJ"/>
    <s v="L-M-0.5"/>
    <x v="22"/>
    <n v="6"/>
    <x v="27"/>
    <s v=""/>
    <x v="0"/>
    <s v="Aurora"/>
    <s v="Lib"/>
    <s v="M"/>
    <x v="1"/>
    <n v="8.73"/>
    <n v="52.38"/>
    <n v="1.1349"/>
    <n v="6.8094000000000001"/>
    <x v="3"/>
    <x v="0"/>
    <x v="1"/>
  </r>
  <r>
    <s v="SCT-60553-454"/>
    <x v="25"/>
    <s v="39123-12846-YJ"/>
    <s v="L-L-0.2"/>
    <x v="7"/>
    <n v="5"/>
    <x v="28"/>
    <s v="ggatheralx@123-reg.co.uk"/>
    <x v="0"/>
    <s v="Grand Forks"/>
    <s v="Lib"/>
    <s v="L"/>
    <x v="3"/>
    <n v="4.7549999999999999"/>
    <n v="23.774999999999999"/>
    <n v="0.61814999999999998"/>
    <n v="3.0907499999999999"/>
    <x v="3"/>
    <x v="1"/>
    <x v="1"/>
  </r>
  <r>
    <s v="GFK-52063-244"/>
    <x v="26"/>
    <s v="44981-99666-XB"/>
    <s v="L-L-0.5"/>
    <x v="23"/>
    <n v="6"/>
    <x v="29"/>
    <s v="uwelberryy@ebay.co.uk"/>
    <x v="2"/>
    <s v="Upton"/>
    <s v="Lib"/>
    <s v="L"/>
    <x v="1"/>
    <n v="9.51"/>
    <n v="57.06"/>
    <n v="1.2363"/>
    <n v="7.4177999999999997"/>
    <x v="3"/>
    <x v="1"/>
    <x v="0"/>
  </r>
  <r>
    <s v="AMM-79521-378"/>
    <x v="27"/>
    <s v="24825-51803-CQ"/>
    <s v="A-D-0.5"/>
    <x v="20"/>
    <n v="6"/>
    <x v="30"/>
    <s v="feilhartz@who.int"/>
    <x v="0"/>
    <s v="Charleston"/>
    <s v="Ara"/>
    <s v="D"/>
    <x v="1"/>
    <n v="5.97"/>
    <n v="35.82"/>
    <n v="0.5373"/>
    <n v="3.2237999999999998"/>
    <x v="2"/>
    <x v="2"/>
    <x v="1"/>
  </r>
  <r>
    <s v="QUQ-90580-772"/>
    <x v="28"/>
    <s v="77634-13918-GJ"/>
    <s v="L-M-0.2"/>
    <x v="21"/>
    <n v="2"/>
    <x v="31"/>
    <s v="zponting10@altervista.org"/>
    <x v="0"/>
    <s v="Little Rock"/>
    <s v="Lib"/>
    <s v="M"/>
    <x v="3"/>
    <n v="4.3650000000000002"/>
    <n v="8.73"/>
    <n v="0.56745000000000001"/>
    <n v="1.1349"/>
    <x v="3"/>
    <x v="0"/>
    <x v="1"/>
  </r>
  <r>
    <s v="LGD-24408-274"/>
    <x v="29"/>
    <s v="13694-25001-LX"/>
    <s v="L-L-0.5"/>
    <x v="23"/>
    <n v="3"/>
    <x v="32"/>
    <s v="sstrase11@booking.com"/>
    <x v="0"/>
    <s v="Denver"/>
    <s v="Lib"/>
    <s v="L"/>
    <x v="1"/>
    <n v="9.51"/>
    <n v="28.53"/>
    <n v="1.2363"/>
    <n v="3.7088999999999999"/>
    <x v="3"/>
    <x v="1"/>
    <x v="1"/>
  </r>
  <r>
    <s v="HCT-95608-959"/>
    <x v="30"/>
    <s v="08523-01791-TI"/>
    <s v="R-M-2.5"/>
    <x v="13"/>
    <n v="5"/>
    <x v="33"/>
    <s v="dde12@unesco.org"/>
    <x v="0"/>
    <s v="Minneapolis"/>
    <s v="Rob"/>
    <s v="M"/>
    <x v="2"/>
    <n v="22.884999999999998"/>
    <n v="114.42499999999998"/>
    <n v="1.3730999999999998"/>
    <n v="6.865499999999999"/>
    <x v="0"/>
    <x v="0"/>
    <x v="1"/>
  </r>
  <r>
    <s v="OFX-99147-470"/>
    <x v="31"/>
    <s v="49860-68865-AB"/>
    <s v="R-M-1"/>
    <x v="0"/>
    <n v="6"/>
    <x v="34"/>
    <s v=""/>
    <x v="0"/>
    <s v="Tucson"/>
    <s v="Rob"/>
    <s v="M"/>
    <x v="0"/>
    <n v="9.9499999999999993"/>
    <n v="59.699999999999996"/>
    <n v="0.59699999999999998"/>
    <n v="3.5819999999999999"/>
    <x v="0"/>
    <x v="0"/>
    <x v="0"/>
  </r>
  <r>
    <s v="LUO-37559-016"/>
    <x v="32"/>
    <s v="21240-83132-SP"/>
    <s v="L-M-1"/>
    <x v="24"/>
    <n v="3"/>
    <x v="35"/>
    <s v=""/>
    <x v="0"/>
    <s v="New Orleans"/>
    <s v="Lib"/>
    <s v="M"/>
    <x v="0"/>
    <n v="14.55"/>
    <n v="43.650000000000006"/>
    <n v="1.8915000000000002"/>
    <n v="5.6745000000000001"/>
    <x v="3"/>
    <x v="0"/>
    <x v="1"/>
  </r>
  <r>
    <s v="XWC-20610-167"/>
    <x v="33"/>
    <s v="08350-81623-TF"/>
    <s v="E-D-0.2"/>
    <x v="15"/>
    <n v="2"/>
    <x v="36"/>
    <s v="lyeoland15@pbs.org"/>
    <x v="0"/>
    <s v="Hartford"/>
    <s v="Exc"/>
    <s v="D"/>
    <x v="3"/>
    <n v="3.645"/>
    <n v="7.29"/>
    <n v="0.40095000000000003"/>
    <n v="0.80190000000000006"/>
    <x v="1"/>
    <x v="2"/>
    <x v="0"/>
  </r>
  <r>
    <s v="GPU-79113-136"/>
    <x v="34"/>
    <s v="73284-01385-SJ"/>
    <s v="R-D-0.2"/>
    <x v="25"/>
    <n v="3"/>
    <x v="37"/>
    <s v="atolworthy16@toplist.cz"/>
    <x v="0"/>
    <s v="Ogden"/>
    <s v="Rob"/>
    <s v="D"/>
    <x v="3"/>
    <n v="2.6849999999999996"/>
    <n v="8.0549999999999997"/>
    <n v="0.16109999999999997"/>
    <n v="0.4832999999999999"/>
    <x v="0"/>
    <x v="2"/>
    <x v="0"/>
  </r>
  <r>
    <s v="ULR-52653-960"/>
    <x v="35"/>
    <s v="04152-34436-IE"/>
    <s v="L-L-2.5"/>
    <x v="26"/>
    <n v="2"/>
    <x v="38"/>
    <s v=""/>
    <x v="0"/>
    <s v="Boston"/>
    <s v="Lib"/>
    <s v="L"/>
    <x v="2"/>
    <n v="36.454999999999998"/>
    <n v="72.91"/>
    <n v="4.7391499999999995"/>
    <n v="9.4782999999999991"/>
    <x v="3"/>
    <x v="1"/>
    <x v="1"/>
  </r>
  <r>
    <s v="HPI-42308-142"/>
    <x v="36"/>
    <s v="06631-86965-XP"/>
    <s v="E-M-0.5"/>
    <x v="1"/>
    <n v="2"/>
    <x v="39"/>
    <s v="obaudassi18@seesaa.net"/>
    <x v="0"/>
    <s v="Rochester"/>
    <s v="Exc"/>
    <s v="M"/>
    <x v="1"/>
    <n v="8.25"/>
    <n v="16.5"/>
    <n v="0.90749999999999997"/>
    <n v="1.8149999999999999"/>
    <x v="1"/>
    <x v="0"/>
    <x v="0"/>
  </r>
  <r>
    <s v="XHI-30227-581"/>
    <x v="37"/>
    <s v="54619-08558-ZU"/>
    <s v="L-D-2.5"/>
    <x v="27"/>
    <n v="6"/>
    <x v="40"/>
    <s v="pkingsbury19@comcast.net"/>
    <x v="0"/>
    <s v="Bronx"/>
    <s v="Lib"/>
    <s v="D"/>
    <x v="2"/>
    <n v="29.784999999999997"/>
    <n v="178.70999999999998"/>
    <n v="3.8720499999999998"/>
    <n v="23.232299999999999"/>
    <x v="3"/>
    <x v="2"/>
    <x v="1"/>
  </r>
  <r>
    <s v="DJH-05202-380"/>
    <x v="38"/>
    <s v="85589-17020-CX"/>
    <s v="E-M-2.5"/>
    <x v="28"/>
    <n v="2"/>
    <x v="41"/>
    <s v=""/>
    <x v="0"/>
    <s v="Birmingham"/>
    <s v="Exc"/>
    <s v="M"/>
    <x v="2"/>
    <n v="31.624999999999996"/>
    <n v="63.249999999999993"/>
    <n v="3.4787499999999998"/>
    <n v="6.9574999999999996"/>
    <x v="1"/>
    <x v="0"/>
    <x v="0"/>
  </r>
  <r>
    <s v="VMW-26889-781"/>
    <x v="39"/>
    <s v="36078-91009-WU"/>
    <s v="A-L-0.2"/>
    <x v="29"/>
    <n v="2"/>
    <x v="42"/>
    <s v="acurley1b@hao123.com"/>
    <x v="0"/>
    <s v="San Bernardino"/>
    <s v="Ara"/>
    <s v="L"/>
    <x v="3"/>
    <n v="3.8849999999999998"/>
    <n v="7.77"/>
    <n v="0.34964999999999996"/>
    <n v="0.69929999999999992"/>
    <x v="2"/>
    <x v="1"/>
    <x v="0"/>
  </r>
  <r>
    <s v="DBU-81099-586"/>
    <x v="40"/>
    <s v="15770-27099-GX"/>
    <s v="A-D-2.5"/>
    <x v="30"/>
    <n v="4"/>
    <x v="43"/>
    <s v="rmcgilvary1c@tamu.edu"/>
    <x v="0"/>
    <s v="Norfolk"/>
    <s v="Ara"/>
    <s v="D"/>
    <x v="2"/>
    <n v="22.884999999999998"/>
    <n v="91.539999999999992"/>
    <n v="2.0596499999999995"/>
    <n v="8.2385999999999981"/>
    <x v="2"/>
    <x v="2"/>
    <x v="1"/>
  </r>
  <r>
    <s v="PQA-54820-810"/>
    <x v="41"/>
    <s v="91460-04823-BX"/>
    <s v="A-L-1"/>
    <x v="2"/>
    <n v="3"/>
    <x v="44"/>
    <s v="ipikett1d@xinhuanet.com"/>
    <x v="0"/>
    <s v="Washington"/>
    <s v="Ara"/>
    <s v="L"/>
    <x v="0"/>
    <n v="12.95"/>
    <n v="38.849999999999994"/>
    <n v="1.1655"/>
    <n v="3.4965000000000002"/>
    <x v="2"/>
    <x v="1"/>
    <x v="1"/>
  </r>
  <r>
    <s v="XKB-41924-202"/>
    <x v="42"/>
    <s v="45089-52817-WN"/>
    <s v="L-D-0.5"/>
    <x v="31"/>
    <n v="2"/>
    <x v="45"/>
    <s v="ibouldon1e@gizmodo.com"/>
    <x v="0"/>
    <s v="Fort Lauderdale"/>
    <s v="Lib"/>
    <s v="D"/>
    <x v="1"/>
    <n v="7.77"/>
    <n v="15.54"/>
    <n v="1.0101"/>
    <n v="2.0202"/>
    <x v="3"/>
    <x v="2"/>
    <x v="1"/>
  </r>
  <r>
    <s v="DWZ-69106-473"/>
    <x v="43"/>
    <s v="76447-50326-IC"/>
    <s v="L-L-2.5"/>
    <x v="26"/>
    <n v="4"/>
    <x v="46"/>
    <s v="kflanders1f@over-blog.com"/>
    <x v="1"/>
    <s v="Crumlin"/>
    <s v="Lib"/>
    <s v="L"/>
    <x v="2"/>
    <n v="36.454999999999998"/>
    <n v="145.82"/>
    <n v="4.7391499999999995"/>
    <n v="18.956599999999998"/>
    <x v="3"/>
    <x v="1"/>
    <x v="0"/>
  </r>
  <r>
    <s v="YHV-68700-050"/>
    <x v="44"/>
    <s v="26333-67911-OL"/>
    <s v="R-M-0.5"/>
    <x v="8"/>
    <n v="5"/>
    <x v="47"/>
    <s v="hmattioli1g@webmd.com"/>
    <x v="2"/>
    <s v="Kinloch"/>
    <s v="Rob"/>
    <s v="M"/>
    <x v="1"/>
    <n v="5.97"/>
    <n v="29.849999999999998"/>
    <n v="0.35819999999999996"/>
    <n v="1.7909999999999999"/>
    <x v="0"/>
    <x v="0"/>
    <x v="1"/>
  </r>
  <r>
    <s v="YHV-68700-050"/>
    <x v="44"/>
    <s v="26333-67911-OL"/>
    <s v="L-L-2.5"/>
    <x v="26"/>
    <n v="2"/>
    <x v="47"/>
    <s v="hmattioli1g@webmd.com"/>
    <x v="2"/>
    <s v="Kinloch"/>
    <s v="Lib"/>
    <s v="L"/>
    <x v="2"/>
    <n v="36.454999999999998"/>
    <n v="72.91"/>
    <n v="4.7391499999999995"/>
    <n v="9.4782999999999991"/>
    <x v="3"/>
    <x v="1"/>
    <x v="1"/>
  </r>
  <r>
    <s v="KRB-88066-642"/>
    <x v="45"/>
    <s v="22107-86640-SB"/>
    <s v="L-M-1"/>
    <x v="24"/>
    <n v="5"/>
    <x v="48"/>
    <s v="agillard1i@issuu.com"/>
    <x v="0"/>
    <s v="Toledo"/>
    <s v="Lib"/>
    <s v="M"/>
    <x v="0"/>
    <n v="14.55"/>
    <n v="72.75"/>
    <n v="1.8915000000000002"/>
    <n v="9.4575000000000014"/>
    <x v="3"/>
    <x v="0"/>
    <x v="1"/>
  </r>
  <r>
    <s v="LQU-08404-173"/>
    <x v="46"/>
    <s v="09960-34242-LZ"/>
    <s v="L-L-1"/>
    <x v="32"/>
    <n v="3"/>
    <x v="49"/>
    <s v=""/>
    <x v="0"/>
    <s v="Trenton"/>
    <s v="Lib"/>
    <s v="L"/>
    <x v="0"/>
    <n v="15.85"/>
    <n v="47.55"/>
    <n v="2.0605000000000002"/>
    <n v="6.1815000000000007"/>
    <x v="3"/>
    <x v="1"/>
    <x v="1"/>
  </r>
  <r>
    <s v="CWK-60159-881"/>
    <x v="47"/>
    <s v="04671-85591-RT"/>
    <s v="E-D-0.2"/>
    <x v="15"/>
    <n v="3"/>
    <x v="50"/>
    <s v="tgrizard1k@odnoklassniki.ru"/>
    <x v="0"/>
    <s v="Tampa"/>
    <s v="Exc"/>
    <s v="D"/>
    <x v="3"/>
    <n v="3.645"/>
    <n v="10.935"/>
    <n v="0.40095000000000003"/>
    <n v="1.2028500000000002"/>
    <x v="1"/>
    <x v="2"/>
    <x v="0"/>
  </r>
  <r>
    <s v="EEG-74197-843"/>
    <x v="48"/>
    <s v="25729-68859-UA"/>
    <s v="E-L-1"/>
    <x v="33"/>
    <n v="4"/>
    <x v="51"/>
    <s v="rrelton1l@stanford.edu"/>
    <x v="0"/>
    <s v="Pensacola"/>
    <s v="Exc"/>
    <s v="L"/>
    <x v="0"/>
    <n v="14.85"/>
    <n v="59.4"/>
    <n v="1.6335"/>
    <n v="6.5339999999999998"/>
    <x v="1"/>
    <x v="1"/>
    <x v="1"/>
  </r>
  <r>
    <s v="UCZ-59708-525"/>
    <x v="49"/>
    <s v="05501-86351-NX"/>
    <s v="L-D-2.5"/>
    <x v="27"/>
    <n v="3"/>
    <x v="52"/>
    <s v=""/>
    <x v="0"/>
    <s v="Zephyrhills"/>
    <s v="Lib"/>
    <s v="D"/>
    <x v="2"/>
    <n v="29.784999999999997"/>
    <n v="89.35499999999999"/>
    <n v="3.8720499999999998"/>
    <n v="11.616149999999999"/>
    <x v="3"/>
    <x v="2"/>
    <x v="0"/>
  </r>
  <r>
    <s v="HUB-47311-849"/>
    <x v="50"/>
    <s v="04521-04300-OK"/>
    <s v="L-M-0.5"/>
    <x v="22"/>
    <n v="3"/>
    <x v="53"/>
    <s v="sgilroy1n@eepurl.com"/>
    <x v="0"/>
    <s v="Saint Paul"/>
    <s v="Lib"/>
    <s v="M"/>
    <x v="1"/>
    <n v="8.73"/>
    <n v="26.19"/>
    <n v="1.1349"/>
    <n v="3.4047000000000001"/>
    <x v="3"/>
    <x v="0"/>
    <x v="0"/>
  </r>
  <r>
    <s v="WYM-17686-694"/>
    <x v="51"/>
    <s v="58689-55264-VK"/>
    <s v="A-D-2.5"/>
    <x v="30"/>
    <n v="5"/>
    <x v="54"/>
    <s v="ccottingham1o@wikipedia.org"/>
    <x v="0"/>
    <s v="Fort Wayne"/>
    <s v="Ara"/>
    <s v="D"/>
    <x v="2"/>
    <n v="22.884999999999998"/>
    <n v="114.42499999999998"/>
    <n v="2.0596499999999995"/>
    <n v="10.298249999999998"/>
    <x v="2"/>
    <x v="2"/>
    <x v="1"/>
  </r>
  <r>
    <s v="ZYQ-15797-695"/>
    <x v="52"/>
    <s v="79436-73011-MM"/>
    <s v="R-D-0.5"/>
    <x v="34"/>
    <n v="5"/>
    <x v="55"/>
    <s v=""/>
    <x v="2"/>
    <s v="Wootton"/>
    <s v="Rob"/>
    <s v="D"/>
    <x v="1"/>
    <n v="5.3699999999999992"/>
    <n v="26.849999999999994"/>
    <n v="0.32219999999999993"/>
    <n v="1.6109999999999998"/>
    <x v="0"/>
    <x v="2"/>
    <x v="0"/>
  </r>
  <r>
    <s v="EEJ-16185-108"/>
    <x v="53"/>
    <s v="65552-60476-KY"/>
    <s v="L-L-0.2"/>
    <x v="7"/>
    <n v="5"/>
    <x v="56"/>
    <s v=""/>
    <x v="0"/>
    <s v="Naples"/>
    <s v="Lib"/>
    <s v="L"/>
    <x v="3"/>
    <n v="4.7549999999999999"/>
    <n v="23.774999999999999"/>
    <n v="0.61814999999999998"/>
    <n v="3.0907499999999999"/>
    <x v="3"/>
    <x v="1"/>
    <x v="0"/>
  </r>
  <r>
    <s v="RWR-77888-800"/>
    <x v="54"/>
    <s v="69904-02729-YS"/>
    <s v="A-M-0.5"/>
    <x v="19"/>
    <n v="1"/>
    <x v="57"/>
    <s v="adykes1r@eventbrite.com"/>
    <x v="0"/>
    <s v="Chicago"/>
    <s v="Ara"/>
    <s v="M"/>
    <x v="1"/>
    <n v="6.75"/>
    <n v="6.75"/>
    <n v="0.60749999999999993"/>
    <n v="0.60749999999999993"/>
    <x v="2"/>
    <x v="0"/>
    <x v="1"/>
  </r>
  <r>
    <s v="LHN-75209-742"/>
    <x v="55"/>
    <s v="01433-04270-AX"/>
    <s v="R-M-0.5"/>
    <x v="8"/>
    <n v="6"/>
    <x v="58"/>
    <s v=""/>
    <x v="0"/>
    <s v="Newark"/>
    <s v="Rob"/>
    <s v="M"/>
    <x v="1"/>
    <n v="5.97"/>
    <n v="35.82"/>
    <n v="0.35819999999999996"/>
    <n v="2.1491999999999996"/>
    <x v="0"/>
    <x v="0"/>
    <x v="0"/>
  </r>
  <r>
    <s v="TIR-71396-998"/>
    <x v="56"/>
    <s v="14204-14186-LA"/>
    <s v="R-D-2.5"/>
    <x v="11"/>
    <n v="4"/>
    <x v="59"/>
    <s v="acockrem1t@engadget.com"/>
    <x v="0"/>
    <s v="Vienna"/>
    <s v="Rob"/>
    <s v="D"/>
    <x v="2"/>
    <n v="20.584999999999997"/>
    <n v="82.339999999999989"/>
    <n v="1.2350999999999999"/>
    <n v="4.9403999999999995"/>
    <x v="0"/>
    <x v="2"/>
    <x v="0"/>
  </r>
  <r>
    <s v="RXF-37618-213"/>
    <x v="57"/>
    <s v="32948-34398-HC"/>
    <s v="R-L-0.5"/>
    <x v="35"/>
    <n v="1"/>
    <x v="60"/>
    <s v="bumpleby1u@soundcloud.com"/>
    <x v="0"/>
    <s v="Fort Worth"/>
    <s v="Rob"/>
    <s v="L"/>
    <x v="1"/>
    <n v="7.169999999999999"/>
    <n v="7.169999999999999"/>
    <n v="0.43019999999999992"/>
    <n v="0.43019999999999992"/>
    <x v="0"/>
    <x v="1"/>
    <x v="0"/>
  </r>
  <r>
    <s v="ANM-16388-634"/>
    <x v="58"/>
    <s v="77343-52608-FF"/>
    <s v="L-L-0.2"/>
    <x v="7"/>
    <n v="2"/>
    <x v="61"/>
    <s v="nsaleway1v@dedecms.com"/>
    <x v="0"/>
    <s v="Burbank"/>
    <s v="Lib"/>
    <s v="L"/>
    <x v="3"/>
    <n v="4.7549999999999999"/>
    <n v="9.51"/>
    <n v="0.61814999999999998"/>
    <n v="1.2363"/>
    <x v="3"/>
    <x v="1"/>
    <x v="1"/>
  </r>
  <r>
    <s v="WYL-29300-070"/>
    <x v="59"/>
    <s v="42770-36274-QA"/>
    <s v="R-M-0.2"/>
    <x v="36"/>
    <n v="1"/>
    <x v="62"/>
    <s v="hgoulter1w@abc.net.au"/>
    <x v="0"/>
    <s v="Kingsport"/>
    <s v="Rob"/>
    <s v="M"/>
    <x v="3"/>
    <n v="2.9849999999999999"/>
    <n v="2.9849999999999999"/>
    <n v="0.17909999999999998"/>
    <n v="0.17909999999999998"/>
    <x v="0"/>
    <x v="0"/>
    <x v="1"/>
  </r>
  <r>
    <s v="JHW-74554-805"/>
    <x v="60"/>
    <s v="14103-58987-ZU"/>
    <s v="R-M-1"/>
    <x v="0"/>
    <n v="6"/>
    <x v="63"/>
    <s v="grizzello1x@symantec.com"/>
    <x v="2"/>
    <s v="Liverpool"/>
    <s v="Rob"/>
    <s v="M"/>
    <x v="0"/>
    <n v="9.9499999999999993"/>
    <n v="59.699999999999996"/>
    <n v="0.59699999999999998"/>
    <n v="3.5819999999999999"/>
    <x v="0"/>
    <x v="0"/>
    <x v="0"/>
  </r>
  <r>
    <s v="KYS-27063-603"/>
    <x v="61"/>
    <s v="69958-32065-SW"/>
    <s v="E-L-2.5"/>
    <x v="10"/>
    <n v="4"/>
    <x v="64"/>
    <s v="slist1y@mapquest.com"/>
    <x v="0"/>
    <s v="Columbus"/>
    <s v="Exc"/>
    <s v="L"/>
    <x v="2"/>
    <n v="34.154999999999994"/>
    <n v="136.61999999999998"/>
    <n v="3.7570499999999996"/>
    <n v="15.028199999999998"/>
    <x v="1"/>
    <x v="1"/>
    <x v="1"/>
  </r>
  <r>
    <s v="GAZ-58626-277"/>
    <x v="62"/>
    <s v="69533-84907-FA"/>
    <s v="L-L-0.2"/>
    <x v="7"/>
    <n v="2"/>
    <x v="65"/>
    <s v="sedmondson1z@theguardian.com"/>
    <x v="1"/>
    <s v="Newmarket on Fergus"/>
    <s v="Lib"/>
    <s v="L"/>
    <x v="3"/>
    <n v="4.7549999999999999"/>
    <n v="9.51"/>
    <n v="0.61814999999999998"/>
    <n v="1.2363"/>
    <x v="3"/>
    <x v="1"/>
    <x v="1"/>
  </r>
  <r>
    <s v="RPJ-37787-335"/>
    <x v="63"/>
    <s v="76005-95461-CI"/>
    <s v="A-M-2.5"/>
    <x v="37"/>
    <n v="3"/>
    <x v="66"/>
    <s v=""/>
    <x v="0"/>
    <s v="New Orleans"/>
    <s v="Ara"/>
    <s v="M"/>
    <x v="2"/>
    <n v="25.874999999999996"/>
    <n v="77.624999999999986"/>
    <n v="2.3287499999999994"/>
    <n v="6.9862499999999983"/>
    <x v="2"/>
    <x v="0"/>
    <x v="1"/>
  </r>
  <r>
    <s v="LEF-83057-763"/>
    <x v="64"/>
    <s v="15395-90855-VB"/>
    <s v="L-M-0.2"/>
    <x v="21"/>
    <n v="5"/>
    <x v="67"/>
    <s v=""/>
    <x v="0"/>
    <s v="Charlotte"/>
    <s v="Lib"/>
    <s v="M"/>
    <x v="3"/>
    <n v="4.3650000000000002"/>
    <n v="21.825000000000003"/>
    <n v="0.56745000000000001"/>
    <n v="2.83725"/>
    <x v="3"/>
    <x v="0"/>
    <x v="0"/>
  </r>
  <r>
    <s v="RPW-36123-215"/>
    <x v="65"/>
    <s v="80640-45811-LB"/>
    <s v="E-L-0.5"/>
    <x v="38"/>
    <n v="2"/>
    <x v="68"/>
    <s v="jrangall22@newsvine.com"/>
    <x v="0"/>
    <s v="Springfield"/>
    <s v="Exc"/>
    <s v="L"/>
    <x v="1"/>
    <n v="8.91"/>
    <n v="17.82"/>
    <n v="0.98009999999999997"/>
    <n v="1.9601999999999999"/>
    <x v="1"/>
    <x v="1"/>
    <x v="0"/>
  </r>
  <r>
    <s v="WLL-59044-117"/>
    <x v="66"/>
    <s v="28476-04082-GR"/>
    <s v="R-D-1"/>
    <x v="39"/>
    <n v="6"/>
    <x v="69"/>
    <s v="kboorn23@ezinearticles.com"/>
    <x v="1"/>
    <s v="Listowel"/>
    <s v="Rob"/>
    <s v="D"/>
    <x v="0"/>
    <n v="8.9499999999999993"/>
    <n v="53.699999999999996"/>
    <n v="0.53699999999999992"/>
    <n v="3.2219999999999995"/>
    <x v="0"/>
    <x v="2"/>
    <x v="0"/>
  </r>
  <r>
    <s v="AWT-22827-563"/>
    <x v="67"/>
    <s v="12018-75670-EU"/>
    <s v="R-L-0.2"/>
    <x v="40"/>
    <n v="1"/>
    <x v="70"/>
    <s v=""/>
    <x v="1"/>
    <s v="Moycullen"/>
    <s v="Rob"/>
    <s v="L"/>
    <x v="3"/>
    <n v="3.5849999999999995"/>
    <n v="3.5849999999999995"/>
    <n v="0.21509999999999996"/>
    <n v="0.21509999999999996"/>
    <x v="0"/>
    <x v="1"/>
    <x v="0"/>
  </r>
  <r>
    <s v="QLM-07145-668"/>
    <x v="68"/>
    <s v="86437-17399-FK"/>
    <s v="E-D-0.2"/>
    <x v="15"/>
    <n v="2"/>
    <x v="71"/>
    <s v="celgey25@webs.com"/>
    <x v="0"/>
    <s v="Midland"/>
    <s v="Exc"/>
    <s v="D"/>
    <x v="3"/>
    <n v="3.645"/>
    <n v="7.29"/>
    <n v="0.40095000000000003"/>
    <n v="0.80190000000000006"/>
    <x v="1"/>
    <x v="2"/>
    <x v="1"/>
  </r>
  <r>
    <s v="HVQ-64398-930"/>
    <x v="69"/>
    <s v="62979-53167-ML"/>
    <s v="A-M-0.5"/>
    <x v="19"/>
    <n v="6"/>
    <x v="72"/>
    <s v="lmizzi26@rakuten.co.jp"/>
    <x v="0"/>
    <s v="Dallas"/>
    <s v="Ara"/>
    <s v="M"/>
    <x v="1"/>
    <n v="6.75"/>
    <n v="40.5"/>
    <n v="0.60749999999999993"/>
    <n v="3.6449999999999996"/>
    <x v="2"/>
    <x v="0"/>
    <x v="0"/>
  </r>
  <r>
    <s v="WRT-40778-247"/>
    <x v="70"/>
    <s v="54810-81899-HL"/>
    <s v="R-L-1"/>
    <x v="41"/>
    <n v="4"/>
    <x v="73"/>
    <s v="cgiacomazzo27@jigsy.com"/>
    <x v="0"/>
    <s v="Dulles"/>
    <s v="Rob"/>
    <s v="L"/>
    <x v="0"/>
    <n v="11.95"/>
    <n v="47.8"/>
    <n v="0.71699999999999997"/>
    <n v="2.8679999999999999"/>
    <x v="0"/>
    <x v="1"/>
    <x v="1"/>
  </r>
  <r>
    <s v="SUB-13006-125"/>
    <x v="71"/>
    <s v="26103-41504-IB"/>
    <s v="A-L-0.5"/>
    <x v="42"/>
    <n v="5"/>
    <x v="74"/>
    <s v="aarnow28@arizona.edu"/>
    <x v="0"/>
    <s v="Oakland"/>
    <s v="Ara"/>
    <s v="L"/>
    <x v="1"/>
    <n v="7.77"/>
    <n v="38.849999999999994"/>
    <n v="0.69929999999999992"/>
    <n v="3.4964999999999997"/>
    <x v="2"/>
    <x v="1"/>
    <x v="0"/>
  </r>
  <r>
    <s v="CQM-49696-263"/>
    <x v="72"/>
    <s v="76534-45229-SG"/>
    <s v="L-L-2.5"/>
    <x v="26"/>
    <n v="3"/>
    <x v="75"/>
    <s v="syann29@senate.gov"/>
    <x v="0"/>
    <s v="Colorado Springs"/>
    <s v="Lib"/>
    <s v="L"/>
    <x v="2"/>
    <n v="36.454999999999998"/>
    <n v="109.36499999999999"/>
    <n v="4.7391499999999995"/>
    <n v="14.217449999999999"/>
    <x v="3"/>
    <x v="1"/>
    <x v="0"/>
  </r>
  <r>
    <s v="KXN-85094-246"/>
    <x v="73"/>
    <s v="81744-27332-RR"/>
    <s v="L-M-2.5"/>
    <x v="43"/>
    <n v="3"/>
    <x v="76"/>
    <s v="bnaulls2a@tiny.cc"/>
    <x v="1"/>
    <s v="Adare"/>
    <s v="Lib"/>
    <s v="M"/>
    <x v="2"/>
    <n v="33.464999999999996"/>
    <n v="100.39499999999998"/>
    <n v="4.3504499999999995"/>
    <n v="13.051349999999999"/>
    <x v="3"/>
    <x v="0"/>
    <x v="0"/>
  </r>
  <r>
    <s v="XOQ-12405-419"/>
    <x v="74"/>
    <s v="91513-75657-PH"/>
    <s v="R-D-2.5"/>
    <x v="11"/>
    <n v="4"/>
    <x v="77"/>
    <s v=""/>
    <x v="0"/>
    <s v="Buffalo"/>
    <s v="Rob"/>
    <s v="D"/>
    <x v="2"/>
    <n v="20.584999999999997"/>
    <n v="82.339999999999989"/>
    <n v="1.2350999999999999"/>
    <n v="4.9403999999999995"/>
    <x v="0"/>
    <x v="2"/>
    <x v="0"/>
  </r>
  <r>
    <s v="HYF-10254-369"/>
    <x v="75"/>
    <s v="30373-66619-CB"/>
    <s v="L-L-0.5"/>
    <x v="23"/>
    <n v="1"/>
    <x v="78"/>
    <s v="zsherewood2c@apache.org"/>
    <x v="0"/>
    <s v="Fresno"/>
    <s v="Lib"/>
    <s v="L"/>
    <x v="1"/>
    <n v="9.51"/>
    <n v="9.51"/>
    <n v="1.2363"/>
    <n v="1.2363"/>
    <x v="3"/>
    <x v="1"/>
    <x v="1"/>
  </r>
  <r>
    <s v="XXJ-47000-307"/>
    <x v="76"/>
    <s v="31582-23562-FM"/>
    <s v="A-L-2.5"/>
    <x v="44"/>
    <n v="3"/>
    <x v="79"/>
    <s v="jdufaire2d@fc2.com"/>
    <x v="0"/>
    <s v="Fort Worth"/>
    <s v="Ara"/>
    <s v="L"/>
    <x v="2"/>
    <n v="29.784999999999997"/>
    <n v="89.35499999999999"/>
    <n v="2.6806499999999995"/>
    <n v="8.0419499999999982"/>
    <x v="2"/>
    <x v="1"/>
    <x v="1"/>
  </r>
  <r>
    <s v="XXJ-47000-307"/>
    <x v="76"/>
    <s v="31582-23562-FM"/>
    <s v="A-D-0.2"/>
    <x v="16"/>
    <n v="4"/>
    <x v="79"/>
    <s v="jdufaire2d@fc2.com"/>
    <x v="0"/>
    <s v="Fort Worth"/>
    <s v="Ara"/>
    <s v="D"/>
    <x v="3"/>
    <n v="2.9849999999999999"/>
    <n v="11.94"/>
    <n v="0.26865"/>
    <n v="1.0746"/>
    <x v="2"/>
    <x v="2"/>
    <x v="1"/>
  </r>
  <r>
    <s v="ZDK-82166-357"/>
    <x v="77"/>
    <s v="81431-12577-VD"/>
    <s v="A-M-1"/>
    <x v="17"/>
    <n v="3"/>
    <x v="80"/>
    <s v="bkeaveney2f@netlog.com"/>
    <x v="0"/>
    <s v="Beaumont"/>
    <s v="Ara"/>
    <s v="M"/>
    <x v="0"/>
    <n v="11.25"/>
    <n v="33.75"/>
    <n v="1.0125"/>
    <n v="3.0374999999999996"/>
    <x v="2"/>
    <x v="0"/>
    <x v="1"/>
  </r>
  <r>
    <s v="IHN-19982-362"/>
    <x v="78"/>
    <s v="68894-91205-MP"/>
    <s v="R-L-1"/>
    <x v="41"/>
    <n v="3"/>
    <x v="81"/>
    <s v="egrise2g@cargocollective.com"/>
    <x v="0"/>
    <s v="Reno"/>
    <s v="Rob"/>
    <s v="L"/>
    <x v="0"/>
    <n v="11.95"/>
    <n v="35.849999999999994"/>
    <n v="0.71699999999999997"/>
    <n v="2.1509999999999998"/>
    <x v="0"/>
    <x v="1"/>
    <x v="1"/>
  </r>
  <r>
    <s v="VMT-10030-889"/>
    <x v="79"/>
    <s v="87602-55754-VN"/>
    <s v="A-L-1"/>
    <x v="2"/>
    <n v="6"/>
    <x v="82"/>
    <s v="tgottelier2h@vistaprint.com"/>
    <x v="0"/>
    <s v="Kansas City"/>
    <s v="Ara"/>
    <s v="L"/>
    <x v="0"/>
    <n v="12.95"/>
    <n v="77.699999999999989"/>
    <n v="1.1655"/>
    <n v="6.9930000000000003"/>
    <x v="2"/>
    <x v="1"/>
    <x v="1"/>
  </r>
  <r>
    <s v="NHL-11063-100"/>
    <x v="80"/>
    <s v="39181-35745-WH"/>
    <s v="A-L-1"/>
    <x v="2"/>
    <n v="4"/>
    <x v="83"/>
    <s v=""/>
    <x v="1"/>
    <s v="Crumlin"/>
    <s v="Ara"/>
    <s v="L"/>
    <x v="0"/>
    <n v="12.95"/>
    <n v="51.8"/>
    <n v="1.1655"/>
    <n v="4.6619999999999999"/>
    <x v="2"/>
    <x v="1"/>
    <x v="0"/>
  </r>
  <r>
    <s v="ROV-87448-086"/>
    <x v="81"/>
    <s v="30381-64762-NG"/>
    <s v="A-M-2.5"/>
    <x v="37"/>
    <n v="4"/>
    <x v="84"/>
    <s v="agreenhead2j@dailymail.co.uk"/>
    <x v="0"/>
    <s v="Corona"/>
    <s v="Ara"/>
    <s v="M"/>
    <x v="2"/>
    <n v="25.874999999999996"/>
    <n v="103.49999999999999"/>
    <n v="2.3287499999999994"/>
    <n v="9.3149999999999977"/>
    <x v="2"/>
    <x v="0"/>
    <x v="1"/>
  </r>
  <r>
    <s v="DGY-35773-612"/>
    <x v="82"/>
    <s v="17503-27693-ZH"/>
    <s v="E-L-1"/>
    <x v="33"/>
    <n v="3"/>
    <x v="85"/>
    <s v=""/>
    <x v="0"/>
    <s v="Austin"/>
    <s v="Exc"/>
    <s v="L"/>
    <x v="0"/>
    <n v="14.85"/>
    <n v="44.55"/>
    <n v="1.6335"/>
    <n v="4.9005000000000001"/>
    <x v="1"/>
    <x v="1"/>
    <x v="0"/>
  </r>
  <r>
    <s v="YWH-50638-556"/>
    <x v="83"/>
    <s v="89442-35633-HJ"/>
    <s v="E-L-0.5"/>
    <x v="38"/>
    <n v="4"/>
    <x v="86"/>
    <s v="elangcaster2l@spotify.com"/>
    <x v="2"/>
    <s v="Normanton"/>
    <s v="Exc"/>
    <s v="L"/>
    <x v="1"/>
    <n v="8.91"/>
    <n v="35.64"/>
    <n v="0.98009999999999997"/>
    <n v="3.9203999999999999"/>
    <x v="1"/>
    <x v="1"/>
    <x v="0"/>
  </r>
  <r>
    <s v="ISL-11200-600"/>
    <x v="84"/>
    <s v="13654-85265-IL"/>
    <s v="A-D-0.2"/>
    <x v="16"/>
    <n v="6"/>
    <x v="87"/>
    <s v=""/>
    <x v="1"/>
    <s v="Charlesland"/>
    <s v="Ara"/>
    <s v="D"/>
    <x v="3"/>
    <n v="2.9849999999999999"/>
    <n v="17.91"/>
    <n v="0.26865"/>
    <n v="1.6118999999999999"/>
    <x v="2"/>
    <x v="2"/>
    <x v="0"/>
  </r>
  <r>
    <s v="LBZ-75997-047"/>
    <x v="85"/>
    <s v="40946-22090-FP"/>
    <s v="A-M-2.5"/>
    <x v="37"/>
    <n v="6"/>
    <x v="88"/>
    <s v="nmagauran2n@51.la"/>
    <x v="0"/>
    <s v="Fresno"/>
    <s v="Ara"/>
    <s v="M"/>
    <x v="2"/>
    <n v="25.874999999999996"/>
    <n v="155.24999999999997"/>
    <n v="2.3287499999999994"/>
    <n v="13.972499999999997"/>
    <x v="2"/>
    <x v="0"/>
    <x v="1"/>
  </r>
  <r>
    <s v="EUH-08089-954"/>
    <x v="86"/>
    <s v="29050-93691-TS"/>
    <s v="A-D-0.2"/>
    <x v="16"/>
    <n v="2"/>
    <x v="89"/>
    <s v="vkirdsch2o@google.fr"/>
    <x v="0"/>
    <s v="Saint Louis"/>
    <s v="Ara"/>
    <s v="D"/>
    <x v="3"/>
    <n v="2.9849999999999999"/>
    <n v="5.97"/>
    <n v="0.26865"/>
    <n v="0.5373"/>
    <x v="2"/>
    <x v="2"/>
    <x v="1"/>
  </r>
  <r>
    <s v="BLD-12227-251"/>
    <x v="87"/>
    <s v="64395-74865-WF"/>
    <s v="A-M-0.5"/>
    <x v="19"/>
    <n v="2"/>
    <x v="90"/>
    <s v="iwhapple2p@com.com"/>
    <x v="0"/>
    <s v="Fresno"/>
    <s v="Ara"/>
    <s v="M"/>
    <x v="1"/>
    <n v="6.75"/>
    <n v="13.5"/>
    <n v="0.60749999999999993"/>
    <n v="1.2149999999999999"/>
    <x v="2"/>
    <x v="0"/>
    <x v="1"/>
  </r>
  <r>
    <s v="OPY-30711-853"/>
    <x v="25"/>
    <s v="81861-66046-SU"/>
    <s v="A-D-0.2"/>
    <x v="16"/>
    <n v="1"/>
    <x v="91"/>
    <s v=""/>
    <x v="1"/>
    <s v="Confey"/>
    <s v="Ara"/>
    <s v="D"/>
    <x v="3"/>
    <n v="2.9849999999999999"/>
    <n v="2.9849999999999999"/>
    <n v="0.26865"/>
    <n v="0.26865"/>
    <x v="2"/>
    <x v="2"/>
    <x v="1"/>
  </r>
  <r>
    <s v="DBC-44122-300"/>
    <x v="88"/>
    <s v="13366-78506-KP"/>
    <s v="L-M-0.2"/>
    <x v="21"/>
    <n v="3"/>
    <x v="92"/>
    <s v=""/>
    <x v="0"/>
    <s v="Columbus"/>
    <s v="Lib"/>
    <s v="M"/>
    <x v="3"/>
    <n v="4.3650000000000002"/>
    <n v="13.095000000000001"/>
    <n v="0.56745000000000001"/>
    <n v="1.70235"/>
    <x v="3"/>
    <x v="0"/>
    <x v="0"/>
  </r>
  <r>
    <s v="FJQ-60035-234"/>
    <x v="89"/>
    <s v="08847-29858-HN"/>
    <s v="A-L-0.2"/>
    <x v="29"/>
    <n v="2"/>
    <x v="93"/>
    <s v=""/>
    <x v="0"/>
    <s v="Stockton"/>
    <s v="Ara"/>
    <s v="L"/>
    <x v="3"/>
    <n v="3.8849999999999998"/>
    <n v="7.77"/>
    <n v="0.34964999999999996"/>
    <n v="0.69929999999999992"/>
    <x v="2"/>
    <x v="1"/>
    <x v="0"/>
  </r>
  <r>
    <s v="HSF-66926-425"/>
    <x v="90"/>
    <s v="00539-42510-RY"/>
    <s v="L-D-2.5"/>
    <x v="27"/>
    <n v="5"/>
    <x v="94"/>
    <s v="nyoules2t@reference.com"/>
    <x v="1"/>
    <s v="Edgeworthstown"/>
    <s v="Lib"/>
    <s v="D"/>
    <x v="2"/>
    <n v="29.784999999999997"/>
    <n v="148.92499999999998"/>
    <n v="3.8720499999999998"/>
    <n v="19.360250000000001"/>
    <x v="3"/>
    <x v="2"/>
    <x v="0"/>
  </r>
  <r>
    <s v="LQG-41416-375"/>
    <x v="91"/>
    <s v="45190-08727-NV"/>
    <s v="L-D-1"/>
    <x v="5"/>
    <n v="3"/>
    <x v="95"/>
    <s v="daizikovitz2u@answers.com"/>
    <x v="1"/>
    <s v="Leixlip"/>
    <s v="Lib"/>
    <s v="D"/>
    <x v="0"/>
    <n v="12.95"/>
    <n v="38.849999999999994"/>
    <n v="1.6835"/>
    <n v="5.0504999999999995"/>
    <x v="3"/>
    <x v="2"/>
    <x v="0"/>
  </r>
  <r>
    <s v="VZO-97265-841"/>
    <x v="92"/>
    <s v="87049-37901-FU"/>
    <s v="R-M-0.2"/>
    <x v="36"/>
    <n v="4"/>
    <x v="96"/>
    <s v="brevel2v@fastcompany.com"/>
    <x v="0"/>
    <s v="Rochester"/>
    <s v="Rob"/>
    <s v="M"/>
    <x v="3"/>
    <n v="2.9849999999999999"/>
    <n v="11.94"/>
    <n v="0.17909999999999998"/>
    <n v="0.71639999999999993"/>
    <x v="0"/>
    <x v="0"/>
    <x v="1"/>
  </r>
  <r>
    <s v="MOR-12987-399"/>
    <x v="93"/>
    <s v="34015-31593-JC"/>
    <s v="L-M-1"/>
    <x v="24"/>
    <n v="6"/>
    <x v="97"/>
    <s v="epriddis2w@nationalgeographic.com"/>
    <x v="0"/>
    <s v="Tuscaloosa"/>
    <s v="Lib"/>
    <s v="M"/>
    <x v="0"/>
    <n v="14.55"/>
    <n v="87.300000000000011"/>
    <n v="1.8915000000000002"/>
    <n v="11.349"/>
    <x v="3"/>
    <x v="0"/>
    <x v="1"/>
  </r>
  <r>
    <s v="UOA-23786-489"/>
    <x v="94"/>
    <s v="90305-50099-SV"/>
    <s v="A-M-0.5"/>
    <x v="19"/>
    <n v="6"/>
    <x v="98"/>
    <s v="qveel2x@jugem.jp"/>
    <x v="0"/>
    <s v="Houston"/>
    <s v="Ara"/>
    <s v="M"/>
    <x v="1"/>
    <n v="6.75"/>
    <n v="40.5"/>
    <n v="0.60749999999999993"/>
    <n v="3.6449999999999996"/>
    <x v="2"/>
    <x v="0"/>
    <x v="0"/>
  </r>
  <r>
    <s v="AJL-52941-018"/>
    <x v="95"/>
    <s v="55871-61935-MF"/>
    <s v="E-D-1"/>
    <x v="45"/>
    <n v="2"/>
    <x v="99"/>
    <s v="lconyers2y@twitter.com"/>
    <x v="0"/>
    <s v="El Paso"/>
    <s v="Exc"/>
    <s v="D"/>
    <x v="0"/>
    <n v="12.15"/>
    <n v="24.3"/>
    <n v="1.3365"/>
    <n v="2.673"/>
    <x v="1"/>
    <x v="2"/>
    <x v="1"/>
  </r>
  <r>
    <s v="XSZ-84273-421"/>
    <x v="96"/>
    <s v="15405-60469-TM"/>
    <s v="R-M-0.5"/>
    <x v="8"/>
    <n v="3"/>
    <x v="100"/>
    <s v="pwye2z@dagondesign.com"/>
    <x v="0"/>
    <s v="Colorado Springs"/>
    <s v="Rob"/>
    <s v="M"/>
    <x v="1"/>
    <n v="5.97"/>
    <n v="17.91"/>
    <n v="0.35819999999999996"/>
    <n v="1.0745999999999998"/>
    <x v="0"/>
    <x v="0"/>
    <x v="0"/>
  </r>
  <r>
    <s v="NUN-48214-216"/>
    <x v="97"/>
    <s v="06953-94794-FB"/>
    <s v="A-M-0.5"/>
    <x v="19"/>
    <n v="4"/>
    <x v="101"/>
    <s v=""/>
    <x v="0"/>
    <s v="Fort Wayne"/>
    <s v="Ara"/>
    <s v="M"/>
    <x v="1"/>
    <n v="6.75"/>
    <n v="27"/>
    <n v="0.60749999999999993"/>
    <n v="2.4299999999999997"/>
    <x v="2"/>
    <x v="0"/>
    <x v="1"/>
  </r>
  <r>
    <s v="AKV-93064-769"/>
    <x v="98"/>
    <s v="22305-40299-CY"/>
    <s v="L-D-0.5"/>
    <x v="31"/>
    <n v="1"/>
    <x v="102"/>
    <s v="tsheryn31@mtv.com"/>
    <x v="0"/>
    <s v="Port Washington"/>
    <s v="Lib"/>
    <s v="D"/>
    <x v="1"/>
    <n v="7.77"/>
    <n v="7.77"/>
    <n v="1.0101"/>
    <n v="1.0101"/>
    <x v="3"/>
    <x v="2"/>
    <x v="0"/>
  </r>
  <r>
    <s v="BRB-40903-533"/>
    <x v="99"/>
    <s v="09020-56774-GU"/>
    <s v="E-L-0.2"/>
    <x v="46"/>
    <n v="3"/>
    <x v="103"/>
    <s v="mredgrave32@cargocollective.com"/>
    <x v="0"/>
    <s v="Springfield"/>
    <s v="Exc"/>
    <s v="L"/>
    <x v="3"/>
    <n v="4.4550000000000001"/>
    <n v="13.365"/>
    <n v="0.49004999999999999"/>
    <n v="1.4701499999999998"/>
    <x v="1"/>
    <x v="1"/>
    <x v="0"/>
  </r>
  <r>
    <s v="GPR-19973-483"/>
    <x v="100"/>
    <s v="92926-08470-YS"/>
    <s v="R-D-0.5"/>
    <x v="34"/>
    <n v="5"/>
    <x v="104"/>
    <s v="bfominov33@yale.edu"/>
    <x v="0"/>
    <s v="Pensacola"/>
    <s v="Rob"/>
    <s v="D"/>
    <x v="1"/>
    <n v="5.3699999999999992"/>
    <n v="26.849999999999994"/>
    <n v="0.32219999999999993"/>
    <n v="1.6109999999999998"/>
    <x v="0"/>
    <x v="2"/>
    <x v="1"/>
  </r>
  <r>
    <s v="XIY-43041-882"/>
    <x v="101"/>
    <s v="07250-63194-JO"/>
    <s v="A-M-1"/>
    <x v="17"/>
    <n v="1"/>
    <x v="105"/>
    <s v="scritchlow34@un.org"/>
    <x v="0"/>
    <s v="Richmond"/>
    <s v="Ara"/>
    <s v="M"/>
    <x v="0"/>
    <n v="11.25"/>
    <n v="11.25"/>
    <n v="1.0125"/>
    <n v="1.0125"/>
    <x v="2"/>
    <x v="0"/>
    <x v="1"/>
  </r>
  <r>
    <s v="YGY-98425-969"/>
    <x v="102"/>
    <s v="63787-96257-TQ"/>
    <s v="L-M-1"/>
    <x v="24"/>
    <n v="1"/>
    <x v="106"/>
    <s v="msteptow35@earthlink.net"/>
    <x v="1"/>
    <s v="Cherryville"/>
    <s v="Lib"/>
    <s v="M"/>
    <x v="0"/>
    <n v="14.55"/>
    <n v="14.55"/>
    <n v="1.8915000000000002"/>
    <n v="1.8915000000000002"/>
    <x v="3"/>
    <x v="0"/>
    <x v="1"/>
  </r>
  <r>
    <s v="MSB-08397-648"/>
    <x v="103"/>
    <s v="49530-25460-RW"/>
    <s v="R-L-0.2"/>
    <x v="40"/>
    <n v="4"/>
    <x v="107"/>
    <s v=""/>
    <x v="0"/>
    <s v="Huntington"/>
    <s v="Rob"/>
    <s v="L"/>
    <x v="3"/>
    <n v="3.5849999999999995"/>
    <n v="14.339999999999998"/>
    <n v="0.21509999999999996"/>
    <n v="0.86039999999999983"/>
    <x v="0"/>
    <x v="1"/>
    <x v="1"/>
  </r>
  <r>
    <s v="WDR-06028-345"/>
    <x v="104"/>
    <s v="66508-21373-OQ"/>
    <s v="L-L-1"/>
    <x v="32"/>
    <n v="1"/>
    <x v="108"/>
    <s v="imulliner37@pinterest.com"/>
    <x v="2"/>
    <s v="Birmingham"/>
    <s v="Lib"/>
    <s v="L"/>
    <x v="0"/>
    <n v="15.85"/>
    <n v="15.85"/>
    <n v="2.0605000000000002"/>
    <n v="2.0605000000000002"/>
    <x v="3"/>
    <x v="1"/>
    <x v="1"/>
  </r>
  <r>
    <s v="MXM-42948-061"/>
    <x v="105"/>
    <s v="20203-03950-FY"/>
    <s v="L-L-0.2"/>
    <x v="7"/>
    <n v="4"/>
    <x v="109"/>
    <s v="gstandley38@dion.ne.jp"/>
    <x v="1"/>
    <s v="Killorglin"/>
    <s v="Lib"/>
    <s v="L"/>
    <x v="3"/>
    <n v="4.7549999999999999"/>
    <n v="19.02"/>
    <n v="0.61814999999999998"/>
    <n v="2.4725999999999999"/>
    <x v="3"/>
    <x v="1"/>
    <x v="0"/>
  </r>
  <r>
    <s v="MGQ-98961-173"/>
    <x v="11"/>
    <s v="83895-90735-XH"/>
    <s v="L-L-0.5"/>
    <x v="23"/>
    <n v="4"/>
    <x v="110"/>
    <s v="bdrage39@youku.com"/>
    <x v="0"/>
    <s v="Dayton"/>
    <s v="Lib"/>
    <s v="L"/>
    <x v="1"/>
    <n v="9.51"/>
    <n v="38.04"/>
    <n v="1.2363"/>
    <n v="4.9451999999999998"/>
    <x v="3"/>
    <x v="1"/>
    <x v="1"/>
  </r>
  <r>
    <s v="RFH-64349-897"/>
    <x v="106"/>
    <s v="61954-61462-RJ"/>
    <s v="E-D-0.5"/>
    <x v="6"/>
    <n v="3"/>
    <x v="111"/>
    <s v="myallop3a@fema.gov"/>
    <x v="0"/>
    <s v="Anchorage"/>
    <s v="Exc"/>
    <s v="D"/>
    <x v="1"/>
    <n v="7.29"/>
    <n v="21.87"/>
    <n v="0.80190000000000006"/>
    <n v="2.4057000000000004"/>
    <x v="1"/>
    <x v="2"/>
    <x v="0"/>
  </r>
  <r>
    <s v="TKL-20738-660"/>
    <x v="107"/>
    <s v="47939-53158-LS"/>
    <s v="E-M-0.2"/>
    <x v="18"/>
    <n v="1"/>
    <x v="112"/>
    <s v="cswitsur3b@chronoengine.com"/>
    <x v="0"/>
    <s v="Nashville"/>
    <s v="Exc"/>
    <s v="M"/>
    <x v="3"/>
    <n v="4.125"/>
    <n v="4.125"/>
    <n v="0.45374999999999999"/>
    <n v="0.45374999999999999"/>
    <x v="1"/>
    <x v="0"/>
    <x v="1"/>
  </r>
  <r>
    <s v="TKL-20738-660"/>
    <x v="107"/>
    <s v="47939-53158-LS"/>
    <s v="A-L-0.2"/>
    <x v="29"/>
    <n v="1"/>
    <x v="112"/>
    <s v="cswitsur3b@chronoengine.com"/>
    <x v="0"/>
    <s v="Nashville"/>
    <s v="Ara"/>
    <s v="L"/>
    <x v="3"/>
    <n v="3.8849999999999998"/>
    <n v="3.8849999999999998"/>
    <n v="0.34964999999999996"/>
    <n v="0.34964999999999996"/>
    <x v="2"/>
    <x v="1"/>
    <x v="1"/>
  </r>
  <r>
    <s v="TKL-20738-660"/>
    <x v="107"/>
    <s v="47939-53158-LS"/>
    <s v="E-M-1"/>
    <x v="3"/>
    <n v="5"/>
    <x v="112"/>
    <s v="cswitsur3b@chronoengine.com"/>
    <x v="0"/>
    <s v="Nashville"/>
    <s v="Exc"/>
    <s v="M"/>
    <x v="0"/>
    <n v="13.75"/>
    <n v="68.75"/>
    <n v="1.5125"/>
    <n v="7.5625"/>
    <x v="1"/>
    <x v="0"/>
    <x v="1"/>
  </r>
  <r>
    <s v="GOW-03198-575"/>
    <x v="108"/>
    <s v="61513-27752-FA"/>
    <s v="A-D-0.5"/>
    <x v="20"/>
    <n v="4"/>
    <x v="113"/>
    <s v="mludwell3e@blogger.com"/>
    <x v="0"/>
    <s v="Denver"/>
    <s v="Ara"/>
    <s v="D"/>
    <x v="1"/>
    <n v="5.97"/>
    <n v="23.88"/>
    <n v="0.5373"/>
    <n v="2.1492"/>
    <x v="2"/>
    <x v="2"/>
    <x v="0"/>
  </r>
  <r>
    <s v="QJB-90477-635"/>
    <x v="109"/>
    <s v="89714-19856-WX"/>
    <s v="L-L-2.5"/>
    <x v="26"/>
    <n v="4"/>
    <x v="114"/>
    <s v="dbeauchamp3f@usda.gov"/>
    <x v="0"/>
    <s v="Stamford"/>
    <s v="Lib"/>
    <s v="L"/>
    <x v="2"/>
    <n v="36.454999999999998"/>
    <n v="145.82"/>
    <n v="4.7391499999999995"/>
    <n v="18.956599999999998"/>
    <x v="3"/>
    <x v="1"/>
    <x v="1"/>
  </r>
  <r>
    <s v="MWP-46239-785"/>
    <x v="110"/>
    <s v="87979-56781-YV"/>
    <s v="L-M-0.2"/>
    <x v="21"/>
    <n v="5"/>
    <x v="115"/>
    <s v="srodliff3g@ted.com"/>
    <x v="0"/>
    <s v="Newport News"/>
    <s v="Lib"/>
    <s v="M"/>
    <x v="3"/>
    <n v="4.3650000000000002"/>
    <n v="21.825000000000003"/>
    <n v="0.56745000000000001"/>
    <n v="2.83725"/>
    <x v="3"/>
    <x v="0"/>
    <x v="0"/>
  </r>
  <r>
    <s v="QDV-03406-248"/>
    <x v="111"/>
    <s v="74126-88836-KA"/>
    <s v="L-M-0.5"/>
    <x v="22"/>
    <n v="3"/>
    <x v="116"/>
    <s v="swoodham3h@businesswire.com"/>
    <x v="1"/>
    <s v="Drumcondra"/>
    <s v="Lib"/>
    <s v="M"/>
    <x v="1"/>
    <n v="8.73"/>
    <n v="26.19"/>
    <n v="1.1349"/>
    <n v="3.4047000000000001"/>
    <x v="3"/>
    <x v="0"/>
    <x v="0"/>
  </r>
  <r>
    <s v="GPH-40635-105"/>
    <x v="112"/>
    <s v="37397-05992-VO"/>
    <s v="A-M-1"/>
    <x v="17"/>
    <n v="1"/>
    <x v="117"/>
    <s v="hsynnot3i@about.com"/>
    <x v="0"/>
    <s v="Anchorage"/>
    <s v="Ara"/>
    <s v="M"/>
    <x v="0"/>
    <n v="11.25"/>
    <n v="11.25"/>
    <n v="1.0125"/>
    <n v="1.0125"/>
    <x v="2"/>
    <x v="0"/>
    <x v="1"/>
  </r>
  <r>
    <s v="JOM-80930-071"/>
    <x v="113"/>
    <s v="54904-18397-UD"/>
    <s v="L-D-1"/>
    <x v="5"/>
    <n v="6"/>
    <x v="118"/>
    <s v="rlepere3j@shop-pro.jp"/>
    <x v="1"/>
    <s v="Beaumont"/>
    <s v="Lib"/>
    <s v="D"/>
    <x v="0"/>
    <n v="12.95"/>
    <n v="77.699999999999989"/>
    <n v="1.6835"/>
    <n v="10.100999999999999"/>
    <x v="3"/>
    <x v="2"/>
    <x v="1"/>
  </r>
  <r>
    <s v="OIL-26493-755"/>
    <x v="114"/>
    <s v="19017-95853-EK"/>
    <s v="A-M-0.5"/>
    <x v="19"/>
    <n v="1"/>
    <x v="119"/>
    <s v="twoofinden3k@businesswire.com"/>
    <x v="0"/>
    <s v="Fargo"/>
    <s v="Ara"/>
    <s v="M"/>
    <x v="1"/>
    <n v="6.75"/>
    <n v="6.75"/>
    <n v="0.60749999999999993"/>
    <n v="0.60749999999999993"/>
    <x v="2"/>
    <x v="0"/>
    <x v="1"/>
  </r>
  <r>
    <s v="CYV-13426-645"/>
    <x v="115"/>
    <s v="88593-59934-VU"/>
    <s v="E-D-1"/>
    <x v="45"/>
    <n v="1"/>
    <x v="120"/>
    <s v="edacca3l@google.pl"/>
    <x v="0"/>
    <s v="Evansville"/>
    <s v="Exc"/>
    <s v="D"/>
    <x v="0"/>
    <n v="12.15"/>
    <n v="12.15"/>
    <n v="1.3365"/>
    <n v="1.3365"/>
    <x v="1"/>
    <x v="2"/>
    <x v="0"/>
  </r>
  <r>
    <s v="WRP-39846-614"/>
    <x v="49"/>
    <s v="47493-68564-YM"/>
    <s v="A-L-2.5"/>
    <x v="44"/>
    <n v="5"/>
    <x v="121"/>
    <s v=""/>
    <x v="1"/>
    <s v="Cherryville"/>
    <s v="Ara"/>
    <s v="L"/>
    <x v="2"/>
    <n v="29.784999999999997"/>
    <n v="148.92499999999998"/>
    <n v="2.6806499999999995"/>
    <n v="13.403249999999998"/>
    <x v="2"/>
    <x v="1"/>
    <x v="0"/>
  </r>
  <r>
    <s v="VDZ-76673-968"/>
    <x v="116"/>
    <s v="82246-82543-DW"/>
    <s v="E-D-0.5"/>
    <x v="6"/>
    <n v="2"/>
    <x v="122"/>
    <s v="bhindsberg3n@blogs.com"/>
    <x v="0"/>
    <s v="Charlotte"/>
    <s v="Exc"/>
    <s v="D"/>
    <x v="1"/>
    <n v="7.29"/>
    <n v="14.58"/>
    <n v="0.80190000000000006"/>
    <n v="1.6038000000000001"/>
    <x v="1"/>
    <x v="2"/>
    <x v="0"/>
  </r>
  <r>
    <s v="VTV-03546-175"/>
    <x v="117"/>
    <s v="03384-62101-IY"/>
    <s v="A-L-2.5"/>
    <x v="44"/>
    <n v="5"/>
    <x v="123"/>
    <s v="orobins3o@salon.com"/>
    <x v="0"/>
    <s v="Huntsville"/>
    <s v="Ara"/>
    <s v="L"/>
    <x v="2"/>
    <n v="29.784999999999997"/>
    <n v="148.92499999999998"/>
    <n v="2.6806499999999995"/>
    <n v="13.403249999999998"/>
    <x v="2"/>
    <x v="1"/>
    <x v="0"/>
  </r>
  <r>
    <s v="GHR-72274-715"/>
    <x v="118"/>
    <s v="86881-41559-OR"/>
    <s v="L-D-1"/>
    <x v="5"/>
    <n v="1"/>
    <x v="124"/>
    <s v="osyseland3p@independent.co.uk"/>
    <x v="0"/>
    <s v="Santa Ana"/>
    <s v="Lib"/>
    <s v="D"/>
    <x v="0"/>
    <n v="12.95"/>
    <n v="12.95"/>
    <n v="1.6835"/>
    <n v="1.6835"/>
    <x v="3"/>
    <x v="2"/>
    <x v="1"/>
  </r>
  <r>
    <s v="ZGK-97262-313"/>
    <x v="119"/>
    <s v="02536-18494-AQ"/>
    <s v="E-M-2.5"/>
    <x v="28"/>
    <n v="3"/>
    <x v="125"/>
    <s v=""/>
    <x v="0"/>
    <s v="Washington"/>
    <s v="Exc"/>
    <s v="M"/>
    <x v="2"/>
    <n v="31.624999999999996"/>
    <n v="94.874999999999986"/>
    <n v="3.4787499999999998"/>
    <n v="10.436249999999999"/>
    <x v="1"/>
    <x v="0"/>
    <x v="0"/>
  </r>
  <r>
    <s v="ZFS-30776-804"/>
    <x v="120"/>
    <s v="58638-01029-CB"/>
    <s v="A-L-0.5"/>
    <x v="42"/>
    <n v="5"/>
    <x v="126"/>
    <s v="bmcamish2e@tripadvisor.com"/>
    <x v="0"/>
    <s v="Oklahoma City"/>
    <s v="Ara"/>
    <s v="L"/>
    <x v="1"/>
    <n v="7.77"/>
    <n v="38.849999999999994"/>
    <n v="0.69929999999999992"/>
    <n v="3.4964999999999997"/>
    <x v="2"/>
    <x v="1"/>
    <x v="0"/>
  </r>
  <r>
    <s v="QUU-91729-492"/>
    <x v="121"/>
    <s v="90312-11148-LA"/>
    <s v="A-D-0.2"/>
    <x v="16"/>
    <n v="4"/>
    <x v="127"/>
    <s v="lkeenleyside3s@topsy.com"/>
    <x v="0"/>
    <s v="Saint Louis"/>
    <s v="Ara"/>
    <s v="D"/>
    <x v="3"/>
    <n v="2.9849999999999999"/>
    <n v="11.94"/>
    <n v="0.26865"/>
    <n v="1.0746"/>
    <x v="2"/>
    <x v="2"/>
    <x v="1"/>
  </r>
  <r>
    <s v="PVI-72795-960"/>
    <x v="122"/>
    <s v="68239-74809-TF"/>
    <s v="E-L-2.5"/>
    <x v="10"/>
    <n v="3"/>
    <x v="128"/>
    <s v=""/>
    <x v="1"/>
    <s v="Bailieborough"/>
    <s v="Exc"/>
    <s v="L"/>
    <x v="2"/>
    <n v="34.154999999999994"/>
    <n v="102.46499999999997"/>
    <n v="3.7570499999999996"/>
    <n v="11.271149999999999"/>
    <x v="1"/>
    <x v="1"/>
    <x v="1"/>
  </r>
  <r>
    <s v="PPP-78935-365"/>
    <x v="123"/>
    <s v="91074-60023-IP"/>
    <s v="E-D-1"/>
    <x v="45"/>
    <n v="4"/>
    <x v="129"/>
    <s v=""/>
    <x v="0"/>
    <s v="Honolulu"/>
    <s v="Exc"/>
    <s v="D"/>
    <x v="0"/>
    <n v="12.15"/>
    <n v="48.6"/>
    <n v="1.3365"/>
    <n v="5.3460000000000001"/>
    <x v="1"/>
    <x v="2"/>
    <x v="1"/>
  </r>
  <r>
    <s v="JUO-34131-517"/>
    <x v="124"/>
    <s v="07972-83748-JI"/>
    <s v="L-D-1"/>
    <x v="5"/>
    <n v="6"/>
    <x v="130"/>
    <s v=""/>
    <x v="0"/>
    <s v="Corona"/>
    <s v="Lib"/>
    <s v="D"/>
    <x v="0"/>
    <n v="12.95"/>
    <n v="77.699999999999989"/>
    <n v="1.6835"/>
    <n v="10.100999999999999"/>
    <x v="3"/>
    <x v="2"/>
    <x v="0"/>
  </r>
  <r>
    <s v="ZJE-89333-489"/>
    <x v="125"/>
    <s v="08694-57330-XR"/>
    <s v="L-D-2.5"/>
    <x v="27"/>
    <n v="1"/>
    <x v="131"/>
    <s v="vkundt3w@bigcartel.com"/>
    <x v="1"/>
    <s v="Ballivor"/>
    <s v="Lib"/>
    <s v="D"/>
    <x v="2"/>
    <n v="29.784999999999997"/>
    <n v="29.784999999999997"/>
    <n v="3.8720499999999998"/>
    <n v="3.8720499999999998"/>
    <x v="3"/>
    <x v="2"/>
    <x v="0"/>
  </r>
  <r>
    <s v="LOO-35324-159"/>
    <x v="126"/>
    <s v="68412-11126-YJ"/>
    <s v="A-L-0.2"/>
    <x v="29"/>
    <n v="4"/>
    <x v="132"/>
    <s v="bbett3x@google.de"/>
    <x v="0"/>
    <s v="Washington"/>
    <s v="Ara"/>
    <s v="L"/>
    <x v="3"/>
    <n v="3.8849999999999998"/>
    <n v="15.54"/>
    <n v="0.34964999999999996"/>
    <n v="1.3985999999999998"/>
    <x v="2"/>
    <x v="1"/>
    <x v="0"/>
  </r>
  <r>
    <s v="JBQ-93412-846"/>
    <x v="127"/>
    <s v="69037-66822-DW"/>
    <s v="E-L-2.5"/>
    <x v="10"/>
    <n v="4"/>
    <x v="133"/>
    <s v=""/>
    <x v="1"/>
    <s v="Portumna"/>
    <s v="Exc"/>
    <s v="L"/>
    <x v="2"/>
    <n v="34.154999999999994"/>
    <n v="136.61999999999998"/>
    <n v="3.7570499999999996"/>
    <n v="15.028199999999998"/>
    <x v="1"/>
    <x v="1"/>
    <x v="0"/>
  </r>
  <r>
    <s v="EHX-66333-637"/>
    <x v="128"/>
    <s v="01297-94364-XH"/>
    <s v="L-M-0.5"/>
    <x v="22"/>
    <n v="2"/>
    <x v="134"/>
    <s v="dstaite3z@scientificamerican.com"/>
    <x v="0"/>
    <s v="Houston"/>
    <s v="Lib"/>
    <s v="M"/>
    <x v="1"/>
    <n v="8.73"/>
    <n v="17.46"/>
    <n v="1.1349"/>
    <n v="2.2698"/>
    <x v="3"/>
    <x v="0"/>
    <x v="1"/>
  </r>
  <r>
    <s v="WXG-25759-236"/>
    <x v="103"/>
    <s v="39919-06540-ZI"/>
    <s v="E-L-2.5"/>
    <x v="10"/>
    <n v="2"/>
    <x v="135"/>
    <s v="wkeyse40@apple.com"/>
    <x v="0"/>
    <s v="Orange"/>
    <s v="Exc"/>
    <s v="L"/>
    <x v="2"/>
    <n v="34.154999999999994"/>
    <n v="68.309999999999988"/>
    <n v="3.7570499999999996"/>
    <n v="7.5140999999999991"/>
    <x v="1"/>
    <x v="1"/>
    <x v="0"/>
  </r>
  <r>
    <s v="QNA-31113-984"/>
    <x v="129"/>
    <s v="60512-78550-WS"/>
    <s v="L-M-0.2"/>
    <x v="21"/>
    <n v="4"/>
    <x v="136"/>
    <s v="oclausenthue41@marriott.com"/>
    <x v="0"/>
    <s v="El Paso"/>
    <s v="Lib"/>
    <s v="M"/>
    <x v="3"/>
    <n v="4.3650000000000002"/>
    <n v="17.46"/>
    <n v="0.56745000000000001"/>
    <n v="2.2698"/>
    <x v="3"/>
    <x v="0"/>
    <x v="1"/>
  </r>
  <r>
    <s v="ZWI-52029-159"/>
    <x v="130"/>
    <s v="40172-12000-AU"/>
    <s v="L-M-1"/>
    <x v="24"/>
    <n v="3"/>
    <x v="137"/>
    <s v="lfrancisco42@fema.gov"/>
    <x v="0"/>
    <s v="Carson City"/>
    <s v="Lib"/>
    <s v="M"/>
    <x v="0"/>
    <n v="14.55"/>
    <n v="43.650000000000006"/>
    <n v="1.8915000000000002"/>
    <n v="5.6745000000000001"/>
    <x v="3"/>
    <x v="0"/>
    <x v="1"/>
  </r>
  <r>
    <s v="ZWI-52029-159"/>
    <x v="130"/>
    <s v="40172-12000-AU"/>
    <s v="E-M-1"/>
    <x v="3"/>
    <n v="2"/>
    <x v="137"/>
    <s v="lfrancisco42@fema.gov"/>
    <x v="0"/>
    <s v="Carson City"/>
    <s v="Exc"/>
    <s v="M"/>
    <x v="0"/>
    <n v="13.75"/>
    <n v="27.5"/>
    <n v="1.5125"/>
    <n v="3.0249999999999999"/>
    <x v="1"/>
    <x v="0"/>
    <x v="1"/>
  </r>
  <r>
    <s v="DFS-49954-707"/>
    <x v="131"/>
    <s v="39019-13649-CL"/>
    <s v="E-D-0.2"/>
    <x v="15"/>
    <n v="5"/>
    <x v="138"/>
    <s v="gskingle44@clickbank.net"/>
    <x v="0"/>
    <s v="Provo"/>
    <s v="Exc"/>
    <s v="D"/>
    <x v="3"/>
    <n v="3.645"/>
    <n v="18.225000000000001"/>
    <n v="0.40095000000000003"/>
    <n v="2.00475"/>
    <x v="1"/>
    <x v="2"/>
    <x v="0"/>
  </r>
  <r>
    <s v="VYP-89830-878"/>
    <x v="132"/>
    <s v="12715-05198-QU"/>
    <s v="A-M-2.5"/>
    <x v="37"/>
    <n v="2"/>
    <x v="139"/>
    <s v=""/>
    <x v="0"/>
    <s v="Boca Raton"/>
    <s v="Ara"/>
    <s v="M"/>
    <x v="2"/>
    <n v="25.874999999999996"/>
    <n v="51.749999999999993"/>
    <n v="2.3287499999999994"/>
    <n v="4.6574999999999989"/>
    <x v="2"/>
    <x v="0"/>
    <x v="0"/>
  </r>
  <r>
    <s v="AMT-40418-362"/>
    <x v="133"/>
    <s v="04513-76520-QO"/>
    <s v="L-D-1"/>
    <x v="5"/>
    <n v="1"/>
    <x v="140"/>
    <s v="jbalsillie46@princeton.edu"/>
    <x v="0"/>
    <s v="Roanoke"/>
    <s v="Lib"/>
    <s v="D"/>
    <x v="0"/>
    <n v="12.95"/>
    <n v="12.95"/>
    <n v="1.6835"/>
    <n v="1.6835"/>
    <x v="3"/>
    <x v="2"/>
    <x v="0"/>
  </r>
  <r>
    <s v="NFQ-23241-793"/>
    <x v="134"/>
    <s v="88446-59251-SQ"/>
    <s v="A-M-1"/>
    <x v="17"/>
    <n v="3"/>
    <x v="141"/>
    <s v=""/>
    <x v="0"/>
    <s v="Des Moines"/>
    <s v="Ara"/>
    <s v="M"/>
    <x v="0"/>
    <n v="11.25"/>
    <n v="33.75"/>
    <n v="1.0125"/>
    <n v="3.0374999999999996"/>
    <x v="2"/>
    <x v="0"/>
    <x v="0"/>
  </r>
  <r>
    <s v="JQK-64922-985"/>
    <x v="113"/>
    <s v="23779-10274-KN"/>
    <s v="R-M-2.5"/>
    <x v="13"/>
    <n v="3"/>
    <x v="142"/>
    <s v="bleffek48@ning.com"/>
    <x v="0"/>
    <s v="Honolulu"/>
    <s v="Rob"/>
    <s v="M"/>
    <x v="2"/>
    <n v="22.884999999999998"/>
    <n v="68.655000000000001"/>
    <n v="1.3730999999999998"/>
    <n v="4.1192999999999991"/>
    <x v="0"/>
    <x v="0"/>
    <x v="0"/>
  </r>
  <r>
    <s v="YET-17732-678"/>
    <x v="135"/>
    <s v="57235-92842-DK"/>
    <s v="R-D-0.2"/>
    <x v="25"/>
    <n v="1"/>
    <x v="143"/>
    <s v=""/>
    <x v="0"/>
    <s v="Fort Lauderdale"/>
    <s v="Rob"/>
    <s v="D"/>
    <x v="3"/>
    <n v="2.6849999999999996"/>
    <n v="2.6849999999999996"/>
    <n v="0.16109999999999997"/>
    <n v="0.16109999999999997"/>
    <x v="0"/>
    <x v="2"/>
    <x v="1"/>
  </r>
  <r>
    <s v="NKW-24945-846"/>
    <x v="35"/>
    <s v="75977-30364-AY"/>
    <s v="A-D-2.5"/>
    <x v="30"/>
    <n v="5"/>
    <x v="144"/>
    <s v="jpray4a@youtube.com"/>
    <x v="0"/>
    <s v="Philadelphia"/>
    <s v="Ara"/>
    <s v="D"/>
    <x v="2"/>
    <n v="22.884999999999998"/>
    <n v="114.42499999999998"/>
    <n v="2.0596499999999995"/>
    <n v="10.298249999999998"/>
    <x v="2"/>
    <x v="2"/>
    <x v="1"/>
  </r>
  <r>
    <s v="VKA-82720-513"/>
    <x v="136"/>
    <s v="12299-30914-NG"/>
    <s v="A-M-2.5"/>
    <x v="37"/>
    <n v="6"/>
    <x v="145"/>
    <s v="gholborn4b@ow.ly"/>
    <x v="0"/>
    <s v="Norwalk"/>
    <s v="Ara"/>
    <s v="M"/>
    <x v="2"/>
    <n v="25.874999999999996"/>
    <n v="155.24999999999997"/>
    <n v="2.3287499999999994"/>
    <n v="13.972499999999997"/>
    <x v="2"/>
    <x v="0"/>
    <x v="0"/>
  </r>
  <r>
    <s v="THA-60599-417"/>
    <x v="137"/>
    <s v="59971-35626-YJ"/>
    <s v="A-M-2.5"/>
    <x v="37"/>
    <n v="3"/>
    <x v="146"/>
    <s v="fkeinrat4c@dailymail.co.uk"/>
    <x v="0"/>
    <s v="Arlington"/>
    <s v="Ara"/>
    <s v="M"/>
    <x v="2"/>
    <n v="25.874999999999996"/>
    <n v="77.624999999999986"/>
    <n v="2.3287499999999994"/>
    <n v="6.9862499999999983"/>
    <x v="2"/>
    <x v="0"/>
    <x v="0"/>
  </r>
  <r>
    <s v="MEK-39769-035"/>
    <x v="138"/>
    <s v="15380-76513-PS"/>
    <s v="R-D-2.5"/>
    <x v="11"/>
    <n v="3"/>
    <x v="147"/>
    <s v="pyea4d@aol.com"/>
    <x v="1"/>
    <s v="Ashford"/>
    <s v="Rob"/>
    <s v="D"/>
    <x v="2"/>
    <n v="20.584999999999997"/>
    <n v="61.754999999999995"/>
    <n v="1.2350999999999999"/>
    <n v="3.7052999999999994"/>
    <x v="0"/>
    <x v="2"/>
    <x v="1"/>
  </r>
  <r>
    <s v="JAF-18294-750"/>
    <x v="139"/>
    <s v="73564-98204-EY"/>
    <s v="R-D-2.5"/>
    <x v="11"/>
    <n v="6"/>
    <x v="148"/>
    <s v=""/>
    <x v="0"/>
    <s v="Chattanooga"/>
    <s v="Rob"/>
    <s v="D"/>
    <x v="2"/>
    <n v="20.584999999999997"/>
    <n v="123.50999999999999"/>
    <n v="1.2350999999999999"/>
    <n v="7.4105999999999987"/>
    <x v="0"/>
    <x v="2"/>
    <x v="0"/>
  </r>
  <r>
    <s v="TME-59627-221"/>
    <x v="140"/>
    <s v="72282-40594-RX"/>
    <s v="L-L-2.5"/>
    <x v="26"/>
    <n v="6"/>
    <x v="149"/>
    <s v=""/>
    <x v="0"/>
    <s v="Portland"/>
    <s v="Lib"/>
    <s v="L"/>
    <x v="2"/>
    <n v="36.454999999999998"/>
    <n v="218.73"/>
    <n v="4.7391499999999995"/>
    <n v="28.434899999999999"/>
    <x v="3"/>
    <x v="1"/>
    <x v="1"/>
  </r>
  <r>
    <s v="UDG-65353-824"/>
    <x v="141"/>
    <s v="17514-94165-RJ"/>
    <s v="E-M-0.5"/>
    <x v="1"/>
    <n v="4"/>
    <x v="150"/>
    <s v="kswede4g@addthis.com"/>
    <x v="0"/>
    <s v="Oklahoma City"/>
    <s v="Exc"/>
    <s v="M"/>
    <x v="1"/>
    <n v="8.25"/>
    <n v="33"/>
    <n v="0.90749999999999997"/>
    <n v="3.63"/>
    <x v="1"/>
    <x v="0"/>
    <x v="1"/>
  </r>
  <r>
    <s v="ENQ-42923-176"/>
    <x v="142"/>
    <s v="56248-75861-JX"/>
    <s v="A-L-0.5"/>
    <x v="42"/>
    <n v="3"/>
    <x v="151"/>
    <s v="lrubrow4h@microsoft.com"/>
    <x v="0"/>
    <s v="Washington"/>
    <s v="Ara"/>
    <s v="L"/>
    <x v="1"/>
    <n v="7.77"/>
    <n v="23.31"/>
    <n v="0.69929999999999992"/>
    <n v="2.0978999999999997"/>
    <x v="2"/>
    <x v="1"/>
    <x v="1"/>
  </r>
  <r>
    <s v="CBT-55781-720"/>
    <x v="143"/>
    <s v="97855-54761-IS"/>
    <s v="E-D-0.5"/>
    <x v="6"/>
    <n v="3"/>
    <x v="152"/>
    <s v="dtift4i@netvibes.com"/>
    <x v="0"/>
    <s v="Greensboro"/>
    <s v="Exc"/>
    <s v="D"/>
    <x v="1"/>
    <n v="7.29"/>
    <n v="21.87"/>
    <n v="0.80190000000000006"/>
    <n v="2.4057000000000004"/>
    <x v="1"/>
    <x v="2"/>
    <x v="0"/>
  </r>
  <r>
    <s v="NEU-86533-016"/>
    <x v="144"/>
    <s v="96544-91644-IT"/>
    <s v="R-D-0.2"/>
    <x v="25"/>
    <n v="6"/>
    <x v="153"/>
    <s v="gschonfeld4j@oracle.com"/>
    <x v="0"/>
    <s v="Alexandria"/>
    <s v="Rob"/>
    <s v="D"/>
    <x v="3"/>
    <n v="2.6849999999999996"/>
    <n v="16.11"/>
    <n v="0.16109999999999997"/>
    <n v="0.96659999999999979"/>
    <x v="0"/>
    <x v="2"/>
    <x v="1"/>
  </r>
  <r>
    <s v="BYU-58154-603"/>
    <x v="145"/>
    <s v="51971-70393-QM"/>
    <s v="E-D-0.5"/>
    <x v="6"/>
    <n v="4"/>
    <x v="154"/>
    <s v="cfeye4k@google.co.jp"/>
    <x v="1"/>
    <s v="Castlebridge"/>
    <s v="Exc"/>
    <s v="D"/>
    <x v="1"/>
    <n v="7.29"/>
    <n v="29.16"/>
    <n v="0.80190000000000006"/>
    <n v="3.2076000000000002"/>
    <x v="1"/>
    <x v="2"/>
    <x v="1"/>
  </r>
  <r>
    <s v="EHJ-05910-257"/>
    <x v="146"/>
    <s v="06812-11924-IK"/>
    <s v="R-D-1"/>
    <x v="39"/>
    <n v="6"/>
    <x v="155"/>
    <s v=""/>
    <x v="0"/>
    <s v="Racine"/>
    <s v="Rob"/>
    <s v="D"/>
    <x v="0"/>
    <n v="8.9499999999999993"/>
    <n v="53.699999999999996"/>
    <n v="0.53699999999999992"/>
    <n v="3.2219999999999995"/>
    <x v="0"/>
    <x v="2"/>
    <x v="0"/>
  </r>
  <r>
    <s v="EIL-44855-309"/>
    <x v="147"/>
    <s v="59741-90220-OW"/>
    <s v="R-D-0.5"/>
    <x v="34"/>
    <n v="5"/>
    <x v="156"/>
    <s v=""/>
    <x v="0"/>
    <s v="Clearwater"/>
    <s v="Rob"/>
    <s v="D"/>
    <x v="1"/>
    <n v="5.3699999999999992"/>
    <n v="26.849999999999994"/>
    <n v="0.32219999999999993"/>
    <n v="1.6109999999999998"/>
    <x v="0"/>
    <x v="2"/>
    <x v="0"/>
  </r>
  <r>
    <s v="HCA-87224-420"/>
    <x v="148"/>
    <s v="62682-27930-PD"/>
    <s v="E-M-0.5"/>
    <x v="1"/>
    <n v="5"/>
    <x v="157"/>
    <s v="tfero4n@comsenz.com"/>
    <x v="0"/>
    <s v="Racine"/>
    <s v="Exc"/>
    <s v="M"/>
    <x v="1"/>
    <n v="8.25"/>
    <n v="41.25"/>
    <n v="0.90749999999999997"/>
    <n v="4.5374999999999996"/>
    <x v="1"/>
    <x v="0"/>
    <x v="0"/>
  </r>
  <r>
    <s v="ABO-29054-365"/>
    <x v="149"/>
    <s v="00256-19905-YG"/>
    <s v="A-M-0.5"/>
    <x v="19"/>
    <n v="6"/>
    <x v="158"/>
    <s v=""/>
    <x v="1"/>
    <s v="Castlebridge"/>
    <s v="Ara"/>
    <s v="M"/>
    <x v="1"/>
    <n v="6.75"/>
    <n v="40.5"/>
    <n v="0.60749999999999993"/>
    <n v="3.6449999999999996"/>
    <x v="2"/>
    <x v="0"/>
    <x v="1"/>
  </r>
  <r>
    <s v="TKN-58485-031"/>
    <x v="150"/>
    <s v="38890-22576-UI"/>
    <s v="R-D-1"/>
    <x v="39"/>
    <n v="2"/>
    <x v="159"/>
    <s v="fdauney4p@sphinn.com"/>
    <x v="1"/>
    <s v="Castlebellingham"/>
    <s v="Rob"/>
    <s v="D"/>
    <x v="0"/>
    <n v="8.9499999999999993"/>
    <n v="17.899999999999999"/>
    <n v="0.53699999999999992"/>
    <n v="1.0739999999999998"/>
    <x v="0"/>
    <x v="2"/>
    <x v="1"/>
  </r>
  <r>
    <s v="RCK-04069-371"/>
    <x v="151"/>
    <s v="94573-61802-PH"/>
    <s v="E-L-2.5"/>
    <x v="10"/>
    <n v="2"/>
    <x v="160"/>
    <s v="searley4q@youku.com"/>
    <x v="2"/>
    <s v="Craigavon"/>
    <s v="Exc"/>
    <s v="L"/>
    <x v="2"/>
    <n v="34.154999999999994"/>
    <n v="68.309999999999988"/>
    <n v="3.7570499999999996"/>
    <n v="7.5140999999999991"/>
    <x v="1"/>
    <x v="1"/>
    <x v="1"/>
  </r>
  <r>
    <s v="IRJ-67095-738"/>
    <x v="13"/>
    <s v="86447-02699-UT"/>
    <s v="E-M-2.5"/>
    <x v="28"/>
    <n v="2"/>
    <x v="161"/>
    <s v="mchamberlayne4r@bigcartel.com"/>
    <x v="0"/>
    <s v="Tampa"/>
    <s v="Exc"/>
    <s v="M"/>
    <x v="2"/>
    <n v="31.624999999999996"/>
    <n v="63.249999999999993"/>
    <n v="3.4787499999999998"/>
    <n v="6.9574999999999996"/>
    <x v="1"/>
    <x v="0"/>
    <x v="0"/>
  </r>
  <r>
    <s v="VEA-31961-977"/>
    <x v="79"/>
    <s v="51432-27169-KN"/>
    <s v="E-D-0.5"/>
    <x v="6"/>
    <n v="3"/>
    <x v="162"/>
    <s v="bflaherty4s@moonfruit.com"/>
    <x v="1"/>
    <s v="Eadestown"/>
    <s v="Exc"/>
    <s v="D"/>
    <x v="1"/>
    <n v="7.29"/>
    <n v="21.87"/>
    <n v="0.80190000000000006"/>
    <n v="2.4057000000000004"/>
    <x v="1"/>
    <x v="2"/>
    <x v="1"/>
  </r>
  <r>
    <s v="BAF-42286-205"/>
    <x v="152"/>
    <s v="43074-00987-PB"/>
    <s v="R-M-2.5"/>
    <x v="13"/>
    <n v="4"/>
    <x v="163"/>
    <s v="ocolbeck4t@sina.com.cn"/>
    <x v="0"/>
    <s v="Montgomery"/>
    <s v="Rob"/>
    <s v="M"/>
    <x v="2"/>
    <n v="22.884999999999998"/>
    <n v="91.539999999999992"/>
    <n v="1.3730999999999998"/>
    <n v="5.4923999999999991"/>
    <x v="0"/>
    <x v="0"/>
    <x v="1"/>
  </r>
  <r>
    <s v="WOR-52762-511"/>
    <x v="153"/>
    <s v="04739-85772-QT"/>
    <s v="E-L-2.5"/>
    <x v="10"/>
    <n v="6"/>
    <x v="164"/>
    <s v=""/>
    <x v="0"/>
    <s v="Sparks"/>
    <s v="Exc"/>
    <s v="L"/>
    <x v="2"/>
    <n v="34.154999999999994"/>
    <n v="204.92999999999995"/>
    <n v="3.7570499999999996"/>
    <n v="22.542299999999997"/>
    <x v="1"/>
    <x v="1"/>
    <x v="0"/>
  </r>
  <r>
    <s v="ZWK-03995-815"/>
    <x v="154"/>
    <s v="28279-78469-YW"/>
    <s v="E-M-2.5"/>
    <x v="28"/>
    <n v="2"/>
    <x v="165"/>
    <s v="ehobbing4v@nsw.gov.au"/>
    <x v="0"/>
    <s v="Macon"/>
    <s v="Exc"/>
    <s v="M"/>
    <x v="2"/>
    <n v="31.624999999999996"/>
    <n v="63.249999999999993"/>
    <n v="3.4787499999999998"/>
    <n v="6.9574999999999996"/>
    <x v="1"/>
    <x v="0"/>
    <x v="0"/>
  </r>
  <r>
    <s v="CKF-43291-846"/>
    <x v="155"/>
    <s v="91829-99544-DS"/>
    <s v="E-L-2.5"/>
    <x v="10"/>
    <n v="1"/>
    <x v="166"/>
    <s v="othynne4w@auda.org.au"/>
    <x v="0"/>
    <s v="Whittier"/>
    <s v="Exc"/>
    <s v="L"/>
    <x v="2"/>
    <n v="34.154999999999994"/>
    <n v="34.154999999999994"/>
    <n v="3.7570499999999996"/>
    <n v="3.7570499999999996"/>
    <x v="1"/>
    <x v="1"/>
    <x v="0"/>
  </r>
  <r>
    <s v="RMW-74160-339"/>
    <x v="156"/>
    <s v="38978-59582-JP"/>
    <s v="R-L-2.5"/>
    <x v="4"/>
    <n v="4"/>
    <x v="167"/>
    <s v="eheining4x@flickr.com"/>
    <x v="0"/>
    <s v="Johnson City"/>
    <s v="Rob"/>
    <s v="L"/>
    <x v="2"/>
    <n v="27.484999999999996"/>
    <n v="109.93999999999998"/>
    <n v="1.6490999999999998"/>
    <n v="6.5963999999999992"/>
    <x v="0"/>
    <x v="1"/>
    <x v="0"/>
  </r>
  <r>
    <s v="FMT-94584-786"/>
    <x v="22"/>
    <s v="86504-96610-BH"/>
    <s v="A-L-1"/>
    <x v="2"/>
    <n v="2"/>
    <x v="168"/>
    <s v="kmelloi4y@imdb.com"/>
    <x v="0"/>
    <s v="Rochester"/>
    <s v="Ara"/>
    <s v="L"/>
    <x v="0"/>
    <n v="12.95"/>
    <n v="25.9"/>
    <n v="1.1655"/>
    <n v="2.331"/>
    <x v="2"/>
    <x v="1"/>
    <x v="1"/>
  </r>
  <r>
    <s v="NWT-78222-575"/>
    <x v="157"/>
    <s v="75986-98864-EZ"/>
    <s v="A-D-0.2"/>
    <x v="16"/>
    <n v="1"/>
    <x v="169"/>
    <s v=""/>
    <x v="1"/>
    <s v="Portarlington"/>
    <s v="Ara"/>
    <s v="D"/>
    <x v="3"/>
    <n v="2.9849999999999999"/>
    <n v="2.9849999999999999"/>
    <n v="0.26865"/>
    <n v="0.26865"/>
    <x v="2"/>
    <x v="2"/>
    <x v="1"/>
  </r>
  <r>
    <s v="EOI-02511-919"/>
    <x v="158"/>
    <s v="66776-88682-RG"/>
    <s v="E-L-0.2"/>
    <x v="46"/>
    <n v="5"/>
    <x v="170"/>
    <s v="amussen50@51.la"/>
    <x v="0"/>
    <s v="Brooklyn"/>
    <s v="Exc"/>
    <s v="L"/>
    <x v="3"/>
    <n v="4.4550000000000001"/>
    <n v="22.274999999999999"/>
    <n v="0.49004999999999999"/>
    <n v="2.45025"/>
    <x v="1"/>
    <x v="1"/>
    <x v="1"/>
  </r>
  <r>
    <s v="EOI-02511-919"/>
    <x v="158"/>
    <s v="66776-88682-RG"/>
    <s v="A-D-0.5"/>
    <x v="20"/>
    <n v="5"/>
    <x v="170"/>
    <s v="amussen50@51.la"/>
    <x v="0"/>
    <s v="Brooklyn"/>
    <s v="Ara"/>
    <s v="D"/>
    <x v="1"/>
    <n v="5.97"/>
    <n v="29.849999999999998"/>
    <n v="0.5373"/>
    <n v="2.6865000000000001"/>
    <x v="2"/>
    <x v="2"/>
    <x v="1"/>
  </r>
  <r>
    <s v="UCT-03935-589"/>
    <x v="78"/>
    <s v="85851-78384-DM"/>
    <s v="R-D-0.5"/>
    <x v="34"/>
    <n v="6"/>
    <x v="171"/>
    <s v="amundford52@nbcnews.com"/>
    <x v="0"/>
    <s v="Charlottesville"/>
    <s v="Rob"/>
    <s v="D"/>
    <x v="1"/>
    <n v="5.3699999999999992"/>
    <n v="32.22"/>
    <n v="0.32219999999999993"/>
    <n v="1.9331999999999996"/>
    <x v="0"/>
    <x v="2"/>
    <x v="1"/>
  </r>
  <r>
    <s v="SBI-60013-494"/>
    <x v="159"/>
    <s v="55232-81621-BX"/>
    <s v="E-M-0.2"/>
    <x v="18"/>
    <n v="2"/>
    <x v="172"/>
    <s v="twalas53@google.ca"/>
    <x v="0"/>
    <s v="Garland"/>
    <s v="Exc"/>
    <s v="M"/>
    <x v="3"/>
    <n v="4.125"/>
    <n v="8.25"/>
    <n v="0.45374999999999999"/>
    <n v="0.90749999999999997"/>
    <x v="1"/>
    <x v="0"/>
    <x v="1"/>
  </r>
  <r>
    <s v="QRA-73277-814"/>
    <x v="160"/>
    <s v="80310-92912-JA"/>
    <s v="A-L-0.5"/>
    <x v="42"/>
    <n v="4"/>
    <x v="173"/>
    <s v="iblazewicz54@thetimes.co.uk"/>
    <x v="0"/>
    <s v="Minneapolis"/>
    <s v="Ara"/>
    <s v="L"/>
    <x v="1"/>
    <n v="7.77"/>
    <n v="31.08"/>
    <n v="0.69929999999999992"/>
    <n v="2.7971999999999997"/>
    <x v="2"/>
    <x v="1"/>
    <x v="1"/>
  </r>
  <r>
    <s v="EQE-31648-909"/>
    <x v="161"/>
    <s v="19821-05175-WZ"/>
    <s v="E-D-0.5"/>
    <x v="6"/>
    <n v="5"/>
    <x v="174"/>
    <s v="arizzetti55@naver.com"/>
    <x v="0"/>
    <s v="Lansing"/>
    <s v="Exc"/>
    <s v="D"/>
    <x v="1"/>
    <n v="7.29"/>
    <n v="36.450000000000003"/>
    <n v="0.80190000000000006"/>
    <n v="4.0095000000000001"/>
    <x v="1"/>
    <x v="2"/>
    <x v="0"/>
  </r>
  <r>
    <s v="QOO-24615-950"/>
    <x v="162"/>
    <s v="01338-83217-GV"/>
    <s v="R-M-2.5"/>
    <x v="13"/>
    <n v="3"/>
    <x v="175"/>
    <s v="mmeriet56@noaa.gov"/>
    <x v="0"/>
    <s v="Grand Forks"/>
    <s v="Rob"/>
    <s v="M"/>
    <x v="2"/>
    <n v="22.884999999999998"/>
    <n v="68.655000000000001"/>
    <n v="1.3730999999999998"/>
    <n v="4.1192999999999991"/>
    <x v="0"/>
    <x v="0"/>
    <x v="1"/>
  </r>
  <r>
    <s v="WDV-73864-037"/>
    <x v="70"/>
    <s v="66044-25298-TA"/>
    <s v="L-M-0.5"/>
    <x v="22"/>
    <n v="5"/>
    <x v="176"/>
    <s v="lpratt57@netvibes.com"/>
    <x v="0"/>
    <s v="Anchorage"/>
    <s v="Lib"/>
    <s v="M"/>
    <x v="1"/>
    <n v="8.73"/>
    <n v="43.650000000000006"/>
    <n v="1.1349"/>
    <n v="5.6745000000000001"/>
    <x v="3"/>
    <x v="0"/>
    <x v="0"/>
  </r>
  <r>
    <s v="PKR-88575-066"/>
    <x v="163"/>
    <s v="28728-47861-TZ"/>
    <s v="E-L-0.2"/>
    <x v="46"/>
    <n v="1"/>
    <x v="177"/>
    <s v="akitchingham58@com.com"/>
    <x v="0"/>
    <s v="Oklahoma City"/>
    <s v="Exc"/>
    <s v="L"/>
    <x v="3"/>
    <n v="4.4550000000000001"/>
    <n v="4.4550000000000001"/>
    <n v="0.49004999999999999"/>
    <n v="0.49004999999999999"/>
    <x v="1"/>
    <x v="1"/>
    <x v="0"/>
  </r>
  <r>
    <s v="BWR-85735-955"/>
    <x v="153"/>
    <s v="32638-38620-AX"/>
    <s v="L-M-1"/>
    <x v="24"/>
    <n v="3"/>
    <x v="178"/>
    <s v="bbartholin59@xinhuanet.com"/>
    <x v="0"/>
    <s v="Tulsa"/>
    <s v="Lib"/>
    <s v="M"/>
    <x v="0"/>
    <n v="14.55"/>
    <n v="43.650000000000006"/>
    <n v="1.8915000000000002"/>
    <n v="5.6745000000000001"/>
    <x v="3"/>
    <x v="0"/>
    <x v="0"/>
  </r>
  <r>
    <s v="YFX-64795-136"/>
    <x v="164"/>
    <s v="83163-65741-IH"/>
    <s v="L-M-2.5"/>
    <x v="43"/>
    <n v="1"/>
    <x v="179"/>
    <s v="mprinn5a@usa.gov"/>
    <x v="0"/>
    <s v="Detroit"/>
    <s v="Lib"/>
    <s v="M"/>
    <x v="2"/>
    <n v="33.464999999999996"/>
    <n v="33.464999999999996"/>
    <n v="4.3504499999999995"/>
    <n v="4.3504499999999995"/>
    <x v="3"/>
    <x v="0"/>
    <x v="0"/>
  </r>
  <r>
    <s v="DDO-71442-967"/>
    <x v="165"/>
    <s v="89422-58281-FD"/>
    <s v="L-D-0.2"/>
    <x v="12"/>
    <n v="5"/>
    <x v="180"/>
    <s v="abaudino5b@netvibes.com"/>
    <x v="0"/>
    <s v="Washington"/>
    <s v="Lib"/>
    <s v="D"/>
    <x v="3"/>
    <n v="3.8849999999999998"/>
    <n v="19.424999999999997"/>
    <n v="0.50505"/>
    <n v="2.5252499999999998"/>
    <x v="3"/>
    <x v="2"/>
    <x v="0"/>
  </r>
  <r>
    <s v="ILQ-11027-588"/>
    <x v="166"/>
    <s v="76293-30918-DQ"/>
    <s v="E-D-1"/>
    <x v="45"/>
    <n v="6"/>
    <x v="181"/>
    <s v="ppetrushanko5c@blinklist.com"/>
    <x v="1"/>
    <s v="Nenagh"/>
    <s v="Exc"/>
    <s v="D"/>
    <x v="0"/>
    <n v="12.15"/>
    <n v="72.900000000000006"/>
    <n v="1.3365"/>
    <n v="8.0190000000000001"/>
    <x v="1"/>
    <x v="2"/>
    <x v="0"/>
  </r>
  <r>
    <s v="KRZ-13868-122"/>
    <x v="167"/>
    <s v="86779-84838-EJ"/>
    <s v="E-L-1"/>
    <x v="33"/>
    <n v="3"/>
    <x v="182"/>
    <s v=""/>
    <x v="0"/>
    <s v="Mesa"/>
    <s v="Exc"/>
    <s v="L"/>
    <x v="0"/>
    <n v="14.85"/>
    <n v="44.55"/>
    <n v="1.6335"/>
    <n v="4.9005000000000001"/>
    <x v="1"/>
    <x v="1"/>
    <x v="1"/>
  </r>
  <r>
    <s v="VRM-93594-914"/>
    <x v="168"/>
    <s v="66806-41795-MX"/>
    <s v="E-D-0.5"/>
    <x v="6"/>
    <n v="5"/>
    <x v="183"/>
    <s v="elaird5e@bing.com"/>
    <x v="0"/>
    <s v="Warren"/>
    <s v="Exc"/>
    <s v="D"/>
    <x v="1"/>
    <n v="7.29"/>
    <n v="36.450000000000003"/>
    <n v="0.80190000000000006"/>
    <n v="4.0095000000000001"/>
    <x v="1"/>
    <x v="2"/>
    <x v="1"/>
  </r>
  <r>
    <s v="HXL-22497-359"/>
    <x v="169"/>
    <s v="64875-71224-UI"/>
    <s v="A-L-1"/>
    <x v="2"/>
    <n v="3"/>
    <x v="184"/>
    <s v="mhowsden5f@infoseek.co.jp"/>
    <x v="0"/>
    <s v="Memphis"/>
    <s v="Ara"/>
    <s v="L"/>
    <x v="0"/>
    <n v="12.95"/>
    <n v="38.849999999999994"/>
    <n v="1.1655"/>
    <n v="3.4965000000000002"/>
    <x v="2"/>
    <x v="1"/>
    <x v="1"/>
  </r>
  <r>
    <s v="NOP-21394-646"/>
    <x v="170"/>
    <s v="16982-35708-BZ"/>
    <s v="E-L-0.5"/>
    <x v="38"/>
    <n v="6"/>
    <x v="185"/>
    <s v="ncuttler5g@parallels.com"/>
    <x v="0"/>
    <s v="Washington"/>
    <s v="Exc"/>
    <s v="L"/>
    <x v="1"/>
    <n v="8.91"/>
    <n v="53.46"/>
    <n v="0.98009999999999997"/>
    <n v="5.8805999999999994"/>
    <x v="1"/>
    <x v="1"/>
    <x v="1"/>
  </r>
  <r>
    <s v="NOP-21394-646"/>
    <x v="170"/>
    <s v="16982-35708-BZ"/>
    <s v="L-D-2.5"/>
    <x v="27"/>
    <n v="2"/>
    <x v="185"/>
    <s v="ncuttler5g@parallels.com"/>
    <x v="0"/>
    <s v="Washington"/>
    <s v="Lib"/>
    <s v="D"/>
    <x v="2"/>
    <n v="29.784999999999997"/>
    <n v="59.569999999999993"/>
    <n v="3.8720499999999998"/>
    <n v="7.7440999999999995"/>
    <x v="3"/>
    <x v="2"/>
    <x v="1"/>
  </r>
  <r>
    <s v="NOP-21394-646"/>
    <x v="170"/>
    <s v="16982-35708-BZ"/>
    <s v="L-D-2.5"/>
    <x v="27"/>
    <n v="3"/>
    <x v="185"/>
    <s v="ncuttler5g@parallels.com"/>
    <x v="0"/>
    <s v="Washington"/>
    <s v="Lib"/>
    <s v="D"/>
    <x v="2"/>
    <n v="29.784999999999997"/>
    <n v="89.35499999999999"/>
    <n v="3.8720499999999998"/>
    <n v="11.616149999999999"/>
    <x v="3"/>
    <x v="2"/>
    <x v="1"/>
  </r>
  <r>
    <s v="NOP-21394-646"/>
    <x v="170"/>
    <s v="16982-35708-BZ"/>
    <s v="L-L-0.5"/>
    <x v="23"/>
    <n v="4"/>
    <x v="185"/>
    <s v="ncuttler5g@parallels.com"/>
    <x v="0"/>
    <s v="Washington"/>
    <s v="Lib"/>
    <s v="L"/>
    <x v="1"/>
    <n v="9.51"/>
    <n v="38.04"/>
    <n v="1.2363"/>
    <n v="4.9451999999999998"/>
    <x v="3"/>
    <x v="1"/>
    <x v="1"/>
  </r>
  <r>
    <s v="NOP-21394-646"/>
    <x v="170"/>
    <s v="16982-35708-BZ"/>
    <s v="E-M-1"/>
    <x v="3"/>
    <n v="3"/>
    <x v="185"/>
    <s v="ncuttler5g@parallels.com"/>
    <x v="0"/>
    <s v="Washington"/>
    <s v="Exc"/>
    <s v="M"/>
    <x v="0"/>
    <n v="13.75"/>
    <n v="41.25"/>
    <n v="1.5125"/>
    <n v="4.5374999999999996"/>
    <x v="1"/>
    <x v="0"/>
    <x v="1"/>
  </r>
  <r>
    <s v="FTV-77095-168"/>
    <x v="171"/>
    <s v="66708-26678-QK"/>
    <s v="L-L-0.5"/>
    <x v="23"/>
    <n v="6"/>
    <x v="186"/>
    <s v=""/>
    <x v="0"/>
    <s v="Ogden"/>
    <s v="Lib"/>
    <s v="L"/>
    <x v="1"/>
    <n v="9.51"/>
    <n v="57.06"/>
    <n v="1.2363"/>
    <n v="7.4177999999999997"/>
    <x v="3"/>
    <x v="1"/>
    <x v="1"/>
  </r>
  <r>
    <s v="BOR-02906-411"/>
    <x v="172"/>
    <s v="08743-09057-OO"/>
    <s v="L-D-2.5"/>
    <x v="27"/>
    <n v="6"/>
    <x v="187"/>
    <s v="tfelip5m@typepad.com"/>
    <x v="0"/>
    <s v="Albany"/>
    <s v="Lib"/>
    <s v="D"/>
    <x v="2"/>
    <n v="29.784999999999997"/>
    <n v="178.70999999999998"/>
    <n v="3.8720499999999998"/>
    <n v="23.232299999999999"/>
    <x v="3"/>
    <x v="2"/>
    <x v="0"/>
  </r>
  <r>
    <s v="WMP-68847-770"/>
    <x v="173"/>
    <s v="37490-01572-JW"/>
    <s v="L-L-0.2"/>
    <x v="7"/>
    <n v="1"/>
    <x v="188"/>
    <s v="vle5n@disqus.com"/>
    <x v="0"/>
    <s v="Spartanburg"/>
    <s v="Lib"/>
    <s v="L"/>
    <x v="3"/>
    <n v="4.7549999999999999"/>
    <n v="4.7549999999999999"/>
    <n v="0.61814999999999998"/>
    <n v="0.61814999999999998"/>
    <x v="3"/>
    <x v="1"/>
    <x v="1"/>
  </r>
  <r>
    <s v="TMO-22785-872"/>
    <x v="174"/>
    <s v="01811-60350-CU"/>
    <s v="E-M-1"/>
    <x v="3"/>
    <n v="6"/>
    <x v="189"/>
    <s v=""/>
    <x v="0"/>
    <s v="Staten Island"/>
    <s v="Exc"/>
    <s v="M"/>
    <x v="0"/>
    <n v="13.75"/>
    <n v="82.5"/>
    <n v="1.5125"/>
    <n v="9.0749999999999993"/>
    <x v="1"/>
    <x v="0"/>
    <x v="1"/>
  </r>
  <r>
    <s v="TJG-73587-353"/>
    <x v="175"/>
    <s v="24766-58139-GT"/>
    <s v="R-D-0.2"/>
    <x v="25"/>
    <n v="3"/>
    <x v="190"/>
    <s v=""/>
    <x v="0"/>
    <s v="Washington"/>
    <s v="Rob"/>
    <s v="D"/>
    <x v="3"/>
    <n v="2.6849999999999996"/>
    <n v="8.0549999999999997"/>
    <n v="0.16109999999999997"/>
    <n v="0.4832999999999999"/>
    <x v="0"/>
    <x v="2"/>
    <x v="0"/>
  </r>
  <r>
    <s v="OOU-61343-455"/>
    <x v="176"/>
    <s v="90123-70970-NY"/>
    <s v="A-M-1"/>
    <x v="17"/>
    <n v="2"/>
    <x v="191"/>
    <s v="npoolman5q@howstuffworks.com"/>
    <x v="0"/>
    <s v="Charlotte"/>
    <s v="Ara"/>
    <s v="M"/>
    <x v="0"/>
    <n v="11.25"/>
    <n v="22.5"/>
    <n v="1.0125"/>
    <n v="2.0249999999999999"/>
    <x v="2"/>
    <x v="0"/>
    <x v="1"/>
  </r>
  <r>
    <s v="RMA-08327-369"/>
    <x v="142"/>
    <s v="93809-05424-MG"/>
    <s v="A-M-0.5"/>
    <x v="19"/>
    <n v="6"/>
    <x v="192"/>
    <s v="oduny5r@constantcontact.com"/>
    <x v="0"/>
    <s v="Lubbock"/>
    <s v="Ara"/>
    <s v="M"/>
    <x v="1"/>
    <n v="6.75"/>
    <n v="40.5"/>
    <n v="0.60749999999999993"/>
    <n v="3.6449999999999996"/>
    <x v="2"/>
    <x v="0"/>
    <x v="0"/>
  </r>
  <r>
    <s v="SFB-97929-779"/>
    <x v="177"/>
    <s v="85425-33494-HQ"/>
    <s v="E-D-0.5"/>
    <x v="6"/>
    <n v="4"/>
    <x v="193"/>
    <s v="chalfhide5s@google.ru"/>
    <x v="1"/>
    <s v="Fermoy"/>
    <s v="Exc"/>
    <s v="D"/>
    <x v="1"/>
    <n v="7.29"/>
    <n v="29.16"/>
    <n v="0.80190000000000006"/>
    <n v="3.2076000000000002"/>
    <x v="1"/>
    <x v="2"/>
    <x v="0"/>
  </r>
  <r>
    <s v="AUP-10128-606"/>
    <x v="178"/>
    <s v="54387-64897-XC"/>
    <s v="A-M-0.5"/>
    <x v="19"/>
    <n v="1"/>
    <x v="194"/>
    <s v="fmalecky5t@list-manage.com"/>
    <x v="2"/>
    <s v="Whitwell"/>
    <s v="Ara"/>
    <s v="M"/>
    <x v="1"/>
    <n v="6.75"/>
    <n v="6.75"/>
    <n v="0.60749999999999993"/>
    <n v="0.60749999999999993"/>
    <x v="2"/>
    <x v="0"/>
    <x v="1"/>
  </r>
  <r>
    <s v="YTW-40242-005"/>
    <x v="179"/>
    <s v="01035-70465-UO"/>
    <s v="L-D-1"/>
    <x v="5"/>
    <n v="4"/>
    <x v="195"/>
    <s v="aattwater5u@wikia.com"/>
    <x v="0"/>
    <s v="Charlottesville"/>
    <s v="Lib"/>
    <s v="D"/>
    <x v="0"/>
    <n v="12.95"/>
    <n v="51.8"/>
    <n v="1.6835"/>
    <n v="6.734"/>
    <x v="3"/>
    <x v="2"/>
    <x v="0"/>
  </r>
  <r>
    <s v="PRP-53390-819"/>
    <x v="180"/>
    <s v="84260-39432-ML"/>
    <s v="E-L-0.5"/>
    <x v="38"/>
    <n v="6"/>
    <x v="196"/>
    <s v="mwhellans5v@mapquest.com"/>
    <x v="0"/>
    <s v="New York City"/>
    <s v="Exc"/>
    <s v="L"/>
    <x v="1"/>
    <n v="8.91"/>
    <n v="53.46"/>
    <n v="0.98009999999999997"/>
    <n v="5.8805999999999994"/>
    <x v="1"/>
    <x v="1"/>
    <x v="1"/>
  </r>
  <r>
    <s v="GSJ-01065-125"/>
    <x v="181"/>
    <s v="69779-40609-RS"/>
    <s v="E-D-0.2"/>
    <x v="15"/>
    <n v="4"/>
    <x v="197"/>
    <s v="dcamilletti5w@businesswire.com"/>
    <x v="0"/>
    <s v="Roanoke"/>
    <s v="Exc"/>
    <s v="D"/>
    <x v="3"/>
    <n v="3.645"/>
    <n v="14.58"/>
    <n v="0.40095000000000003"/>
    <n v="1.6038000000000001"/>
    <x v="1"/>
    <x v="2"/>
    <x v="0"/>
  </r>
  <r>
    <s v="YQU-65147-580"/>
    <x v="182"/>
    <s v="80247-70000-HT"/>
    <s v="R-D-2.5"/>
    <x v="11"/>
    <n v="1"/>
    <x v="198"/>
    <s v="egalgey5x@wufoo.com"/>
    <x v="0"/>
    <s v="New York City"/>
    <s v="Rob"/>
    <s v="D"/>
    <x v="2"/>
    <n v="20.584999999999997"/>
    <n v="20.584999999999997"/>
    <n v="1.2350999999999999"/>
    <n v="1.2350999999999999"/>
    <x v="0"/>
    <x v="2"/>
    <x v="1"/>
  </r>
  <r>
    <s v="QPM-95832-683"/>
    <x v="183"/>
    <s v="35058-04550-VC"/>
    <s v="L-L-1"/>
    <x v="32"/>
    <n v="2"/>
    <x v="199"/>
    <s v="mhame5y@newsvine.com"/>
    <x v="1"/>
    <s v="Balally"/>
    <s v="Lib"/>
    <s v="L"/>
    <x v="0"/>
    <n v="15.85"/>
    <n v="31.7"/>
    <n v="2.0605000000000002"/>
    <n v="4.1210000000000004"/>
    <x v="3"/>
    <x v="1"/>
    <x v="1"/>
  </r>
  <r>
    <s v="BNQ-88920-567"/>
    <x v="184"/>
    <s v="27226-53717-SY"/>
    <s v="L-D-0.2"/>
    <x v="12"/>
    <n v="6"/>
    <x v="200"/>
    <s v="igurnee5z@usnews.com"/>
    <x v="0"/>
    <s v="Salt Lake City"/>
    <s v="Lib"/>
    <s v="D"/>
    <x v="3"/>
    <n v="3.8849999999999998"/>
    <n v="23.31"/>
    <n v="0.50505"/>
    <n v="3.0303"/>
    <x v="3"/>
    <x v="2"/>
    <x v="1"/>
  </r>
  <r>
    <s v="PUX-47906-110"/>
    <x v="185"/>
    <s v="02002-98725-CH"/>
    <s v="L-M-1"/>
    <x v="24"/>
    <n v="4"/>
    <x v="201"/>
    <s v="asnowding60@comsenz.com"/>
    <x v="0"/>
    <s v="Toledo"/>
    <s v="Lib"/>
    <s v="M"/>
    <x v="0"/>
    <n v="14.55"/>
    <n v="58.2"/>
    <n v="1.8915000000000002"/>
    <n v="7.5660000000000007"/>
    <x v="3"/>
    <x v="0"/>
    <x v="0"/>
  </r>
  <r>
    <s v="COL-72079-610"/>
    <x v="186"/>
    <s v="38487-01549-MV"/>
    <s v="E-L-0.5"/>
    <x v="38"/>
    <n v="4"/>
    <x v="202"/>
    <s v="gpoinsett61@berkeley.edu"/>
    <x v="0"/>
    <s v="Pasadena"/>
    <s v="Exc"/>
    <s v="L"/>
    <x v="1"/>
    <n v="8.91"/>
    <n v="35.64"/>
    <n v="0.98009999999999997"/>
    <n v="3.9203999999999999"/>
    <x v="1"/>
    <x v="1"/>
    <x v="1"/>
  </r>
  <r>
    <s v="LBC-45686-819"/>
    <x v="187"/>
    <s v="98573-41811-EQ"/>
    <s v="A-M-1"/>
    <x v="17"/>
    <n v="5"/>
    <x v="203"/>
    <s v="rfurman62@t.co"/>
    <x v="1"/>
    <s v="Kinsale"/>
    <s v="Ara"/>
    <s v="M"/>
    <x v="0"/>
    <n v="11.25"/>
    <n v="56.25"/>
    <n v="1.0125"/>
    <n v="5.0625"/>
    <x v="2"/>
    <x v="0"/>
    <x v="0"/>
  </r>
  <r>
    <s v="BLQ-03709-265"/>
    <x v="148"/>
    <s v="72463-75685-MV"/>
    <s v="R-L-0.2"/>
    <x v="40"/>
    <n v="3"/>
    <x v="204"/>
    <s v="ccrosier63@xrea.com"/>
    <x v="0"/>
    <s v="Lees Summit"/>
    <s v="Rob"/>
    <s v="L"/>
    <x v="3"/>
    <n v="3.5849999999999995"/>
    <n v="10.754999999999999"/>
    <n v="0.21509999999999996"/>
    <n v="0.64529999999999987"/>
    <x v="0"/>
    <x v="1"/>
    <x v="1"/>
  </r>
  <r>
    <s v="BLQ-03709-265"/>
    <x v="148"/>
    <s v="72463-75685-MV"/>
    <s v="R-M-0.2"/>
    <x v="36"/>
    <n v="5"/>
    <x v="204"/>
    <s v="ccrosier63@xrea.com"/>
    <x v="0"/>
    <s v="Lees Summit"/>
    <s v="Rob"/>
    <s v="M"/>
    <x v="3"/>
    <n v="2.9849999999999999"/>
    <n v="14.924999999999999"/>
    <n v="0.17909999999999998"/>
    <n v="0.89549999999999996"/>
    <x v="0"/>
    <x v="0"/>
    <x v="1"/>
  </r>
  <r>
    <s v="VFZ-91673-181"/>
    <x v="188"/>
    <s v="10225-91535-AI"/>
    <s v="A-L-1"/>
    <x v="2"/>
    <n v="6"/>
    <x v="205"/>
    <s v="lrushmer65@europa.eu"/>
    <x v="0"/>
    <s v="Irvine"/>
    <s v="Ara"/>
    <s v="L"/>
    <x v="0"/>
    <n v="12.95"/>
    <n v="77.699999999999989"/>
    <n v="1.1655"/>
    <n v="6.9930000000000003"/>
    <x v="2"/>
    <x v="1"/>
    <x v="0"/>
  </r>
  <r>
    <s v="WKD-81956-870"/>
    <x v="189"/>
    <s v="48090-06534-HI"/>
    <s v="L-D-0.5"/>
    <x v="31"/>
    <n v="3"/>
    <x v="206"/>
    <s v="wedinborough66@github.io"/>
    <x v="0"/>
    <s v="Hicksville"/>
    <s v="Lib"/>
    <s v="D"/>
    <x v="1"/>
    <n v="7.77"/>
    <n v="23.31"/>
    <n v="1.0101"/>
    <n v="3.0303"/>
    <x v="3"/>
    <x v="2"/>
    <x v="1"/>
  </r>
  <r>
    <s v="TNI-91067-006"/>
    <x v="190"/>
    <s v="80444-58185-FX"/>
    <s v="E-L-1"/>
    <x v="33"/>
    <n v="4"/>
    <x v="207"/>
    <s v=""/>
    <x v="0"/>
    <s v="Washington"/>
    <s v="Exc"/>
    <s v="L"/>
    <x v="0"/>
    <n v="14.85"/>
    <n v="59.4"/>
    <n v="1.6335"/>
    <n v="6.5339999999999998"/>
    <x v="1"/>
    <x v="1"/>
    <x v="0"/>
  </r>
  <r>
    <s v="IZA-61469-812"/>
    <x v="191"/>
    <s v="13561-92774-WP"/>
    <s v="L-D-2.5"/>
    <x v="27"/>
    <n v="4"/>
    <x v="208"/>
    <s v="kbromehead68@un.org"/>
    <x v="0"/>
    <s v="New York City"/>
    <s v="Lib"/>
    <s v="D"/>
    <x v="2"/>
    <n v="29.784999999999997"/>
    <n v="119.13999999999999"/>
    <n v="3.8720499999999998"/>
    <n v="15.488199999999999"/>
    <x v="3"/>
    <x v="2"/>
    <x v="0"/>
  </r>
  <r>
    <s v="PSS-22466-862"/>
    <x v="192"/>
    <s v="11550-78378-GE"/>
    <s v="R-L-0.2"/>
    <x v="40"/>
    <n v="4"/>
    <x v="209"/>
    <s v="ewesterman69@si.edu"/>
    <x v="1"/>
    <s v="Newmarket on Fergus"/>
    <s v="Rob"/>
    <s v="L"/>
    <x v="3"/>
    <n v="3.5849999999999995"/>
    <n v="14.339999999999998"/>
    <n v="0.21509999999999996"/>
    <n v="0.86039999999999983"/>
    <x v="0"/>
    <x v="1"/>
    <x v="1"/>
  </r>
  <r>
    <s v="REH-56504-397"/>
    <x v="193"/>
    <s v="90961-35603-RP"/>
    <s v="A-M-2.5"/>
    <x v="37"/>
    <n v="5"/>
    <x v="210"/>
    <s v="ahutchens6a@amazonaws.com"/>
    <x v="0"/>
    <s v="Shawnee Mission"/>
    <s v="Ara"/>
    <s v="M"/>
    <x v="2"/>
    <n v="25.874999999999996"/>
    <n v="129.37499999999997"/>
    <n v="2.3287499999999994"/>
    <n v="11.643749999999997"/>
    <x v="2"/>
    <x v="0"/>
    <x v="1"/>
  </r>
  <r>
    <s v="ALA-62598-016"/>
    <x v="194"/>
    <s v="57145-03803-ZL"/>
    <s v="R-D-0.2"/>
    <x v="25"/>
    <n v="6"/>
    <x v="211"/>
    <s v="nwyvill6b@naver.com"/>
    <x v="2"/>
    <s v="Edinburgh"/>
    <s v="Rob"/>
    <s v="D"/>
    <x v="3"/>
    <n v="2.6849999999999996"/>
    <n v="16.11"/>
    <n v="0.16109999999999997"/>
    <n v="0.96659999999999979"/>
    <x v="0"/>
    <x v="2"/>
    <x v="0"/>
  </r>
  <r>
    <s v="EYE-70374-835"/>
    <x v="195"/>
    <s v="89115-11966-VF"/>
    <s v="R-L-0.2"/>
    <x v="40"/>
    <n v="5"/>
    <x v="212"/>
    <s v="bmathon6c@barnesandnoble.com"/>
    <x v="0"/>
    <s v="Sacramento"/>
    <s v="Rob"/>
    <s v="L"/>
    <x v="3"/>
    <n v="3.5849999999999995"/>
    <n v="17.924999999999997"/>
    <n v="0.21509999999999996"/>
    <n v="1.0754999999999999"/>
    <x v="0"/>
    <x v="1"/>
    <x v="1"/>
  </r>
  <r>
    <s v="CCZ-19589-212"/>
    <x v="196"/>
    <s v="05754-41702-FG"/>
    <s v="L-M-0.2"/>
    <x v="21"/>
    <n v="2"/>
    <x v="213"/>
    <s v="kstreight6d@about.com"/>
    <x v="0"/>
    <s v="Wilkes Barre"/>
    <s v="Lib"/>
    <s v="M"/>
    <x v="3"/>
    <n v="4.3650000000000002"/>
    <n v="8.73"/>
    <n v="0.56745000000000001"/>
    <n v="1.1349"/>
    <x v="3"/>
    <x v="0"/>
    <x v="1"/>
  </r>
  <r>
    <s v="BPT-83989-157"/>
    <x v="197"/>
    <s v="84269-49816-ML"/>
    <s v="A-M-2.5"/>
    <x v="37"/>
    <n v="2"/>
    <x v="214"/>
    <s v="pcutchie6e@globo.com"/>
    <x v="0"/>
    <s v="Greensboro"/>
    <s v="Ara"/>
    <s v="M"/>
    <x v="2"/>
    <n v="25.874999999999996"/>
    <n v="51.749999999999993"/>
    <n v="2.3287499999999994"/>
    <n v="4.6574999999999989"/>
    <x v="2"/>
    <x v="0"/>
    <x v="1"/>
  </r>
  <r>
    <s v="YFH-87456-208"/>
    <x v="198"/>
    <s v="23600-98432-ME"/>
    <s v="L-M-0.2"/>
    <x v="21"/>
    <n v="2"/>
    <x v="215"/>
    <s v=""/>
    <x v="0"/>
    <s v="Newark"/>
    <s v="Lib"/>
    <s v="M"/>
    <x v="3"/>
    <n v="4.3650000000000002"/>
    <n v="8.73"/>
    <n v="0.56745000000000001"/>
    <n v="1.1349"/>
    <x v="3"/>
    <x v="0"/>
    <x v="0"/>
  </r>
  <r>
    <s v="JLN-14700-924"/>
    <x v="199"/>
    <s v="79058-02767-CP"/>
    <s v="L-L-0.2"/>
    <x v="7"/>
    <n v="5"/>
    <x v="216"/>
    <s v="cgheraldi6g@opera.com"/>
    <x v="2"/>
    <s v="Kinloch"/>
    <s v="Lib"/>
    <s v="L"/>
    <x v="3"/>
    <n v="4.7549999999999999"/>
    <n v="23.774999999999999"/>
    <n v="0.61814999999999998"/>
    <n v="3.0907499999999999"/>
    <x v="3"/>
    <x v="1"/>
    <x v="1"/>
  </r>
  <r>
    <s v="JVW-22582-137"/>
    <x v="200"/>
    <s v="89208-74646-UK"/>
    <s v="E-M-0.2"/>
    <x v="18"/>
    <n v="5"/>
    <x v="217"/>
    <s v="bkenwell6h@over-blog.com"/>
    <x v="0"/>
    <s v="Honolulu"/>
    <s v="Exc"/>
    <s v="M"/>
    <x v="3"/>
    <n v="4.125"/>
    <n v="20.625"/>
    <n v="0.45374999999999999"/>
    <n v="2.2687499999999998"/>
    <x v="1"/>
    <x v="0"/>
    <x v="1"/>
  </r>
  <r>
    <s v="LAA-41879-001"/>
    <x v="201"/>
    <s v="11408-81032-UR"/>
    <s v="L-L-2.5"/>
    <x v="26"/>
    <n v="1"/>
    <x v="218"/>
    <s v="tsutty6i@google.es"/>
    <x v="0"/>
    <s v="New York City"/>
    <s v="Lib"/>
    <s v="L"/>
    <x v="2"/>
    <n v="36.454999999999998"/>
    <n v="36.454999999999998"/>
    <n v="4.7391499999999995"/>
    <n v="4.7391499999999995"/>
    <x v="3"/>
    <x v="1"/>
    <x v="1"/>
  </r>
  <r>
    <s v="BRV-64870-915"/>
    <x v="202"/>
    <s v="32070-55528-UG"/>
    <s v="L-L-2.5"/>
    <x v="26"/>
    <n v="5"/>
    <x v="219"/>
    <s v=""/>
    <x v="1"/>
    <s v="Ballinroad"/>
    <s v="Lib"/>
    <s v="L"/>
    <x v="2"/>
    <n v="36.454999999999998"/>
    <n v="182.27499999999998"/>
    <n v="4.7391499999999995"/>
    <n v="23.695749999999997"/>
    <x v="3"/>
    <x v="1"/>
    <x v="1"/>
  </r>
  <r>
    <s v="RGJ-12544-083"/>
    <x v="203"/>
    <s v="48873-84433-PN"/>
    <s v="L-D-2.5"/>
    <x v="27"/>
    <n v="3"/>
    <x v="220"/>
    <s v="charce6k@cafepress.com"/>
    <x v="1"/>
    <s v="D煤n Laoghaire"/>
    <s v="Lib"/>
    <s v="D"/>
    <x v="2"/>
    <n v="29.784999999999997"/>
    <n v="89.35499999999999"/>
    <n v="3.8720499999999998"/>
    <n v="11.616149999999999"/>
    <x v="3"/>
    <x v="2"/>
    <x v="1"/>
  </r>
  <r>
    <s v="JJX-83339-346"/>
    <x v="204"/>
    <s v="32928-18158-OW"/>
    <s v="R-L-0.2"/>
    <x v="40"/>
    <n v="1"/>
    <x v="221"/>
    <s v=""/>
    <x v="0"/>
    <s v="Cincinnati"/>
    <s v="Rob"/>
    <s v="L"/>
    <x v="3"/>
    <n v="3.5849999999999995"/>
    <n v="3.5849999999999995"/>
    <n v="0.21509999999999996"/>
    <n v="0.21509999999999996"/>
    <x v="0"/>
    <x v="1"/>
    <x v="0"/>
  </r>
  <r>
    <s v="BIU-21970-705"/>
    <x v="205"/>
    <s v="89711-56688-GG"/>
    <s v="R-M-2.5"/>
    <x v="13"/>
    <n v="2"/>
    <x v="222"/>
    <s v="fdrysdale6m@symantec.com"/>
    <x v="0"/>
    <s v="Midland"/>
    <s v="Rob"/>
    <s v="M"/>
    <x v="2"/>
    <n v="22.884999999999998"/>
    <n v="45.769999999999996"/>
    <n v="1.3730999999999998"/>
    <n v="2.7461999999999995"/>
    <x v="0"/>
    <x v="0"/>
    <x v="0"/>
  </r>
  <r>
    <s v="ELJ-87741-745"/>
    <x v="206"/>
    <s v="48389-71976-JB"/>
    <s v="E-L-1"/>
    <x v="33"/>
    <n v="4"/>
    <x v="223"/>
    <s v="dmagowan6n@fc2.com"/>
    <x v="0"/>
    <s v="Cheyenne"/>
    <s v="Exc"/>
    <s v="L"/>
    <x v="0"/>
    <n v="14.85"/>
    <n v="59.4"/>
    <n v="1.6335"/>
    <n v="6.5339999999999998"/>
    <x v="1"/>
    <x v="1"/>
    <x v="1"/>
  </r>
  <r>
    <s v="SGI-48226-857"/>
    <x v="207"/>
    <s v="84033-80762-EQ"/>
    <s v="A-M-2.5"/>
    <x v="37"/>
    <n v="6"/>
    <x v="224"/>
    <s v=""/>
    <x v="0"/>
    <s v="Atlanta"/>
    <s v="Ara"/>
    <s v="M"/>
    <x v="2"/>
    <n v="25.874999999999996"/>
    <n v="155.24999999999997"/>
    <n v="2.3287499999999994"/>
    <n v="13.972499999999997"/>
    <x v="2"/>
    <x v="0"/>
    <x v="0"/>
  </r>
  <r>
    <s v="AHV-66988-037"/>
    <x v="208"/>
    <s v="12743-00952-KO"/>
    <s v="R-M-2.5"/>
    <x v="13"/>
    <n v="2"/>
    <x v="225"/>
    <s v=""/>
    <x v="0"/>
    <s v="Duluth"/>
    <s v="Rob"/>
    <s v="M"/>
    <x v="2"/>
    <n v="22.884999999999998"/>
    <n v="45.769999999999996"/>
    <n v="1.3730999999999998"/>
    <n v="2.7461999999999995"/>
    <x v="0"/>
    <x v="0"/>
    <x v="1"/>
  </r>
  <r>
    <s v="ISK-42066-094"/>
    <x v="209"/>
    <s v="41505-42181-EF"/>
    <s v="E-D-1"/>
    <x v="45"/>
    <n v="3"/>
    <x v="226"/>
    <s v="srushbrooke6q@youku.com"/>
    <x v="0"/>
    <s v="Sacramento"/>
    <s v="Exc"/>
    <s v="D"/>
    <x v="0"/>
    <n v="12.15"/>
    <n v="36.450000000000003"/>
    <n v="1.3365"/>
    <n v="4.0095000000000001"/>
    <x v="1"/>
    <x v="2"/>
    <x v="0"/>
  </r>
  <r>
    <s v="FTC-35822-530"/>
    <x v="210"/>
    <s v="14307-87663-KB"/>
    <s v="E-D-0.5"/>
    <x v="6"/>
    <n v="4"/>
    <x v="227"/>
    <s v="tdrynan6r@deviantart.com"/>
    <x v="0"/>
    <s v="Tampa"/>
    <s v="Exc"/>
    <s v="D"/>
    <x v="1"/>
    <n v="7.29"/>
    <n v="29.16"/>
    <n v="0.80190000000000006"/>
    <n v="3.2076000000000002"/>
    <x v="1"/>
    <x v="2"/>
    <x v="0"/>
  </r>
  <r>
    <s v="VSS-56247-688"/>
    <x v="211"/>
    <s v="08360-19442-GB"/>
    <s v="L-M-2.5"/>
    <x v="43"/>
    <n v="4"/>
    <x v="228"/>
    <s v="eyurkov6s@hud.gov"/>
    <x v="0"/>
    <s v="Honolulu"/>
    <s v="Lib"/>
    <s v="M"/>
    <x v="2"/>
    <n v="33.464999999999996"/>
    <n v="133.85999999999999"/>
    <n v="4.3504499999999995"/>
    <n v="17.401799999999998"/>
    <x v="3"/>
    <x v="0"/>
    <x v="1"/>
  </r>
  <r>
    <s v="HVW-25584-144"/>
    <x v="212"/>
    <s v="93405-51204-UW"/>
    <s v="L-L-0.2"/>
    <x v="7"/>
    <n v="5"/>
    <x v="229"/>
    <s v="lmallan6t@state.gov"/>
    <x v="0"/>
    <s v="Baton Rouge"/>
    <s v="Lib"/>
    <s v="L"/>
    <x v="3"/>
    <n v="4.7549999999999999"/>
    <n v="23.774999999999999"/>
    <n v="0.61814999999999998"/>
    <n v="3.0907499999999999"/>
    <x v="3"/>
    <x v="1"/>
    <x v="0"/>
  </r>
  <r>
    <s v="MUY-15309-209"/>
    <x v="213"/>
    <s v="97152-03355-IW"/>
    <s v="L-D-1"/>
    <x v="5"/>
    <n v="3"/>
    <x v="230"/>
    <s v="gbentjens6u@netlog.com"/>
    <x v="2"/>
    <s v="Newbiggin"/>
    <s v="Lib"/>
    <s v="D"/>
    <x v="0"/>
    <n v="12.95"/>
    <n v="38.849999999999994"/>
    <n v="1.6835"/>
    <n v="5.0504999999999995"/>
    <x v="3"/>
    <x v="2"/>
    <x v="1"/>
  </r>
  <r>
    <s v="VAJ-44572-469"/>
    <x v="63"/>
    <s v="79216-73157-TE"/>
    <s v="R-L-0.2"/>
    <x v="40"/>
    <n v="6"/>
    <x v="231"/>
    <s v=""/>
    <x v="1"/>
    <s v="Kilkenny"/>
    <s v="Rob"/>
    <s v="L"/>
    <x v="3"/>
    <n v="3.5849999999999995"/>
    <n v="21.509999999999998"/>
    <n v="0.21509999999999996"/>
    <n v="1.2905999999999997"/>
    <x v="0"/>
    <x v="1"/>
    <x v="0"/>
  </r>
  <r>
    <s v="YJU-84377-606"/>
    <x v="214"/>
    <s v="20259-47723-AC"/>
    <s v="A-D-1"/>
    <x v="9"/>
    <n v="1"/>
    <x v="232"/>
    <s v="lentwistle6w@omniture.com"/>
    <x v="0"/>
    <s v="Minneapolis"/>
    <s v="Ara"/>
    <s v="D"/>
    <x v="0"/>
    <n v="9.9499999999999993"/>
    <n v="9.9499999999999993"/>
    <n v="0.89549999999999985"/>
    <n v="0.89549999999999985"/>
    <x v="2"/>
    <x v="2"/>
    <x v="0"/>
  </r>
  <r>
    <s v="VNC-93921-469"/>
    <x v="215"/>
    <s v="04666-71569-RI"/>
    <s v="L-L-1"/>
    <x v="32"/>
    <n v="1"/>
    <x v="233"/>
    <s v="zkiffe74@cyberchimps.com"/>
    <x v="0"/>
    <s v="Milwaukee"/>
    <s v="Lib"/>
    <s v="L"/>
    <x v="0"/>
    <n v="15.85"/>
    <n v="15.85"/>
    <n v="2.0605000000000002"/>
    <n v="2.0605000000000002"/>
    <x v="3"/>
    <x v="1"/>
    <x v="0"/>
  </r>
  <r>
    <s v="OGB-91614-810"/>
    <x v="216"/>
    <s v="08909-77713-CG"/>
    <s v="R-M-0.2"/>
    <x v="36"/>
    <n v="1"/>
    <x v="234"/>
    <s v="macott6y@pagesperso-orange.fr"/>
    <x v="0"/>
    <s v="Charlotte"/>
    <s v="Rob"/>
    <s v="M"/>
    <x v="3"/>
    <n v="2.9849999999999999"/>
    <n v="2.9849999999999999"/>
    <n v="0.17909999999999998"/>
    <n v="0.17909999999999998"/>
    <x v="0"/>
    <x v="0"/>
    <x v="0"/>
  </r>
  <r>
    <s v="BQI-61647-496"/>
    <x v="217"/>
    <s v="84340-73931-VV"/>
    <s v="E-M-1"/>
    <x v="3"/>
    <n v="5"/>
    <x v="235"/>
    <s v="cheaviside6z@rediff.com"/>
    <x v="0"/>
    <s v="Phoenix"/>
    <s v="Exc"/>
    <s v="M"/>
    <x v="0"/>
    <n v="13.75"/>
    <n v="68.75"/>
    <n v="1.5125"/>
    <n v="7.5625"/>
    <x v="1"/>
    <x v="0"/>
    <x v="0"/>
  </r>
  <r>
    <s v="IOM-51636-823"/>
    <x v="218"/>
    <s v="04609-95151-XH"/>
    <s v="A-D-1"/>
    <x v="9"/>
    <n v="3"/>
    <x v="236"/>
    <s v=""/>
    <x v="0"/>
    <s v="Jamaica"/>
    <s v="Ara"/>
    <s v="D"/>
    <x v="0"/>
    <n v="9.9499999999999993"/>
    <n v="29.849999999999998"/>
    <n v="0.89549999999999985"/>
    <n v="2.6864999999999997"/>
    <x v="2"/>
    <x v="2"/>
    <x v="1"/>
  </r>
  <r>
    <s v="GGD-38107-641"/>
    <x v="219"/>
    <s v="99562-88650-YF"/>
    <s v="L-M-1"/>
    <x v="24"/>
    <n v="4"/>
    <x v="237"/>
    <s v="lkernan71@wsj.com"/>
    <x v="0"/>
    <s v="Champaign"/>
    <s v="Lib"/>
    <s v="M"/>
    <x v="0"/>
    <n v="14.55"/>
    <n v="58.2"/>
    <n v="1.8915000000000002"/>
    <n v="7.5660000000000007"/>
    <x v="3"/>
    <x v="0"/>
    <x v="1"/>
  </r>
  <r>
    <s v="LTO-95975-728"/>
    <x v="220"/>
    <s v="46560-73885-PJ"/>
    <s v="R-L-0.5"/>
    <x v="35"/>
    <n v="4"/>
    <x v="238"/>
    <s v="rmclae72@dailymotion.com"/>
    <x v="2"/>
    <s v="Swindon"/>
    <s v="Rob"/>
    <s v="L"/>
    <x v="1"/>
    <n v="7.169999999999999"/>
    <n v="28.679999999999996"/>
    <n v="0.43019999999999992"/>
    <n v="1.7207999999999997"/>
    <x v="0"/>
    <x v="1"/>
    <x v="1"/>
  </r>
  <r>
    <s v="IGM-84664-265"/>
    <x v="114"/>
    <s v="80179-44620-WN"/>
    <s v="R-L-0.5"/>
    <x v="35"/>
    <n v="3"/>
    <x v="239"/>
    <s v="cblowfelde73@ustream.tv"/>
    <x v="0"/>
    <s v="Tucson"/>
    <s v="Rob"/>
    <s v="L"/>
    <x v="1"/>
    <n v="7.169999999999999"/>
    <n v="21.509999999999998"/>
    <n v="0.43019999999999992"/>
    <n v="1.2905999999999997"/>
    <x v="0"/>
    <x v="1"/>
    <x v="1"/>
  </r>
  <r>
    <s v="SKO-45740-621"/>
    <x v="221"/>
    <s v="04666-71569-RI"/>
    <s v="L-M-0.5"/>
    <x v="22"/>
    <n v="2"/>
    <x v="233"/>
    <s v="zkiffe74@cyberchimps.com"/>
    <x v="0"/>
    <s v="Milwaukee"/>
    <s v="Lib"/>
    <s v="M"/>
    <x v="1"/>
    <n v="8.73"/>
    <n v="17.46"/>
    <n v="1.1349"/>
    <n v="2.2698"/>
    <x v="3"/>
    <x v="0"/>
    <x v="0"/>
  </r>
  <r>
    <s v="FOJ-02234-063"/>
    <x v="222"/>
    <s v="59081-87231-VP"/>
    <s v="E-D-2.5"/>
    <x v="47"/>
    <n v="1"/>
    <x v="240"/>
    <s v="docalleran75@ucla.edu"/>
    <x v="0"/>
    <s v="Pompano Beach"/>
    <s v="Exc"/>
    <s v="D"/>
    <x v="2"/>
    <n v="27.945"/>
    <n v="27.945"/>
    <n v="3.07395"/>
    <n v="3.07395"/>
    <x v="1"/>
    <x v="2"/>
    <x v="0"/>
  </r>
  <r>
    <s v="MSJ-11909-468"/>
    <x v="188"/>
    <s v="07878-45872-CC"/>
    <s v="E-D-2.5"/>
    <x v="47"/>
    <n v="5"/>
    <x v="241"/>
    <s v="ccromwell76@desdev.cn"/>
    <x v="0"/>
    <s v="Whittier"/>
    <s v="Exc"/>
    <s v="D"/>
    <x v="2"/>
    <n v="27.945"/>
    <n v="139.72499999999999"/>
    <n v="3.07395"/>
    <n v="15.36975"/>
    <x v="1"/>
    <x v="2"/>
    <x v="1"/>
  </r>
  <r>
    <s v="DKB-78053-329"/>
    <x v="223"/>
    <s v="12444-05174-OO"/>
    <s v="R-M-0.2"/>
    <x v="36"/>
    <n v="2"/>
    <x v="242"/>
    <s v="ihay77@lulu.com"/>
    <x v="2"/>
    <s v="Sheffield"/>
    <s v="Rob"/>
    <s v="M"/>
    <x v="3"/>
    <n v="2.9849999999999999"/>
    <n v="5.97"/>
    <n v="0.17909999999999998"/>
    <n v="0.35819999999999996"/>
    <x v="0"/>
    <x v="0"/>
    <x v="1"/>
  </r>
  <r>
    <s v="DFZ-45083-941"/>
    <x v="224"/>
    <s v="34665-62561-AU"/>
    <s v="R-L-2.5"/>
    <x v="4"/>
    <n v="1"/>
    <x v="243"/>
    <s v="ttaffarello78@sciencedaily.com"/>
    <x v="0"/>
    <s v="Saint Louis"/>
    <s v="Rob"/>
    <s v="L"/>
    <x v="2"/>
    <n v="27.484999999999996"/>
    <n v="27.484999999999996"/>
    <n v="1.6490999999999998"/>
    <n v="1.6490999999999998"/>
    <x v="0"/>
    <x v="1"/>
    <x v="0"/>
  </r>
  <r>
    <s v="OTA-40969-710"/>
    <x v="83"/>
    <s v="77877-11993-QH"/>
    <s v="R-L-1"/>
    <x v="41"/>
    <n v="5"/>
    <x v="244"/>
    <s v="mcanty79@jigsy.com"/>
    <x v="0"/>
    <s v="Erie"/>
    <s v="Rob"/>
    <s v="L"/>
    <x v="0"/>
    <n v="11.95"/>
    <n v="59.75"/>
    <n v="0.71699999999999997"/>
    <n v="3.585"/>
    <x v="0"/>
    <x v="1"/>
    <x v="0"/>
  </r>
  <r>
    <s v="GRH-45571-667"/>
    <x v="104"/>
    <s v="32291-18308-YZ"/>
    <s v="E-M-1"/>
    <x v="3"/>
    <n v="3"/>
    <x v="245"/>
    <s v="jkopke7a@auda.org.au"/>
    <x v="0"/>
    <s v="Tacoma"/>
    <s v="Exc"/>
    <s v="M"/>
    <x v="0"/>
    <n v="13.75"/>
    <n v="41.25"/>
    <n v="1.5125"/>
    <n v="4.5374999999999996"/>
    <x v="1"/>
    <x v="0"/>
    <x v="1"/>
  </r>
  <r>
    <s v="NXV-05302-067"/>
    <x v="225"/>
    <s v="25754-33191-ZI"/>
    <s v="L-M-2.5"/>
    <x v="43"/>
    <n v="4"/>
    <x v="246"/>
    <s v=""/>
    <x v="0"/>
    <s v="Richmond"/>
    <s v="Lib"/>
    <s v="M"/>
    <x v="2"/>
    <n v="33.464999999999996"/>
    <n v="133.85999999999999"/>
    <n v="4.3504499999999995"/>
    <n v="17.401799999999998"/>
    <x v="3"/>
    <x v="0"/>
    <x v="1"/>
  </r>
  <r>
    <s v="VZH-86274-142"/>
    <x v="226"/>
    <s v="53120-45532-KL"/>
    <s v="R-L-1"/>
    <x v="41"/>
    <n v="5"/>
    <x v="247"/>
    <s v=""/>
    <x v="1"/>
    <s v="Kinsealy-Drinan"/>
    <s v="Rob"/>
    <s v="L"/>
    <x v="0"/>
    <n v="11.95"/>
    <n v="59.75"/>
    <n v="0.71699999999999997"/>
    <n v="3.585"/>
    <x v="0"/>
    <x v="1"/>
    <x v="0"/>
  </r>
  <r>
    <s v="KIX-93248-135"/>
    <x v="227"/>
    <s v="36605-83052-WB"/>
    <s v="A-D-0.5"/>
    <x v="20"/>
    <n v="1"/>
    <x v="248"/>
    <s v="vhellmore7d@bbc.co.uk"/>
    <x v="0"/>
    <s v="Little Rock"/>
    <s v="Ara"/>
    <s v="D"/>
    <x v="1"/>
    <n v="5.97"/>
    <n v="5.97"/>
    <n v="0.5373"/>
    <n v="0.5373"/>
    <x v="2"/>
    <x v="2"/>
    <x v="0"/>
  </r>
  <r>
    <s v="AXR-10962-010"/>
    <x v="180"/>
    <s v="53683-35977-KI"/>
    <s v="E-D-1"/>
    <x v="45"/>
    <n v="2"/>
    <x v="249"/>
    <s v="mseawright7e@nbcnews.com"/>
    <x v="2"/>
    <s v="Newton"/>
    <s v="Exc"/>
    <s v="D"/>
    <x v="0"/>
    <n v="12.15"/>
    <n v="24.3"/>
    <n v="1.3365"/>
    <n v="2.673"/>
    <x v="1"/>
    <x v="2"/>
    <x v="1"/>
  </r>
  <r>
    <s v="IHS-71573-008"/>
    <x v="228"/>
    <s v="07972-83134-NM"/>
    <s v="E-D-0.2"/>
    <x v="15"/>
    <n v="6"/>
    <x v="250"/>
    <s v="snortheast7f@mashable.com"/>
    <x v="0"/>
    <s v="Sparks"/>
    <s v="Exc"/>
    <s v="D"/>
    <x v="3"/>
    <n v="3.645"/>
    <n v="21.87"/>
    <n v="0.40095000000000003"/>
    <n v="2.4057000000000004"/>
    <x v="1"/>
    <x v="2"/>
    <x v="0"/>
  </r>
  <r>
    <s v="QTR-19001-114"/>
    <x v="229"/>
    <s v="01035-70465-UO"/>
    <s v="A-D-1"/>
    <x v="9"/>
    <n v="2"/>
    <x v="195"/>
    <s v="aattwater5u@wikia.com"/>
    <x v="0"/>
    <s v="Charlottesville"/>
    <s v="Ara"/>
    <s v="D"/>
    <x v="0"/>
    <n v="9.9499999999999993"/>
    <n v="19.899999999999999"/>
    <n v="0.89549999999999985"/>
    <n v="1.7909999999999997"/>
    <x v="2"/>
    <x v="2"/>
    <x v="0"/>
  </r>
  <r>
    <s v="WBK-62297-910"/>
    <x v="230"/>
    <s v="25514-23938-IQ"/>
    <s v="A-D-0.2"/>
    <x v="16"/>
    <n v="2"/>
    <x v="251"/>
    <s v="mfearon7h@reverbnation.com"/>
    <x v="0"/>
    <s v="Denton"/>
    <s v="Ara"/>
    <s v="D"/>
    <x v="3"/>
    <n v="2.9849999999999999"/>
    <n v="5.97"/>
    <n v="0.26865"/>
    <n v="0.5373"/>
    <x v="2"/>
    <x v="2"/>
    <x v="1"/>
  </r>
  <r>
    <s v="OGY-19377-175"/>
    <x v="231"/>
    <s v="49084-44492-OJ"/>
    <s v="E-D-0.5"/>
    <x v="6"/>
    <n v="1"/>
    <x v="252"/>
    <s v=""/>
    <x v="1"/>
    <s v="Tullamore"/>
    <s v="Exc"/>
    <s v="D"/>
    <x v="1"/>
    <n v="7.29"/>
    <n v="7.29"/>
    <n v="0.80190000000000006"/>
    <n v="0.80190000000000006"/>
    <x v="1"/>
    <x v="2"/>
    <x v="0"/>
  </r>
  <r>
    <s v="ESR-66651-814"/>
    <x v="80"/>
    <s v="76624-72205-CK"/>
    <s v="A-D-0.2"/>
    <x v="16"/>
    <n v="4"/>
    <x v="253"/>
    <s v="jsisneros7j@a8.net"/>
    <x v="0"/>
    <s v="Raleigh"/>
    <s v="Ara"/>
    <s v="D"/>
    <x v="3"/>
    <n v="2.9849999999999999"/>
    <n v="11.94"/>
    <n v="0.26865"/>
    <n v="1.0746"/>
    <x v="2"/>
    <x v="2"/>
    <x v="0"/>
  </r>
  <r>
    <s v="CPX-46916-770"/>
    <x v="232"/>
    <s v="12729-50170-JE"/>
    <s v="R-L-1"/>
    <x v="41"/>
    <n v="6"/>
    <x v="254"/>
    <s v="zcarlson7k@bigcartel.com"/>
    <x v="1"/>
    <s v="Shankill"/>
    <s v="Rob"/>
    <s v="L"/>
    <x v="0"/>
    <n v="11.95"/>
    <n v="71.699999999999989"/>
    <n v="0.71699999999999997"/>
    <n v="4.3019999999999996"/>
    <x v="0"/>
    <x v="1"/>
    <x v="0"/>
  </r>
  <r>
    <s v="MDC-03318-645"/>
    <x v="233"/>
    <s v="43974-44760-QI"/>
    <s v="A-L-0.2"/>
    <x v="29"/>
    <n v="2"/>
    <x v="255"/>
    <s v="wmaddox7l@timesonline.co.uk"/>
    <x v="0"/>
    <s v="New York City"/>
    <s v="Ara"/>
    <s v="L"/>
    <x v="3"/>
    <n v="3.8849999999999998"/>
    <n v="7.77"/>
    <n v="0.34964999999999996"/>
    <n v="0.69929999999999992"/>
    <x v="2"/>
    <x v="1"/>
    <x v="1"/>
  </r>
  <r>
    <s v="SFF-86059-407"/>
    <x v="234"/>
    <s v="30585-48726-BK"/>
    <s v="A-M-2.5"/>
    <x v="37"/>
    <n v="1"/>
    <x v="256"/>
    <s v="dhedlestone7m@craigslist.org"/>
    <x v="0"/>
    <s v="Stamford"/>
    <s v="Ara"/>
    <s v="M"/>
    <x v="2"/>
    <n v="25.874999999999996"/>
    <n v="25.874999999999996"/>
    <n v="2.3287499999999994"/>
    <n v="2.3287499999999994"/>
    <x v="2"/>
    <x v="0"/>
    <x v="1"/>
  </r>
  <r>
    <s v="SCL-94540-788"/>
    <x v="235"/>
    <s v="16123-07017-TY"/>
    <s v="E-L-2.5"/>
    <x v="10"/>
    <n v="6"/>
    <x v="257"/>
    <s v="tcrowthe7n@europa.eu"/>
    <x v="0"/>
    <s v="Toledo"/>
    <s v="Exc"/>
    <s v="L"/>
    <x v="2"/>
    <n v="34.154999999999994"/>
    <n v="204.92999999999995"/>
    <n v="3.7570499999999996"/>
    <n v="22.542299999999997"/>
    <x v="1"/>
    <x v="1"/>
    <x v="1"/>
  </r>
  <r>
    <s v="HVU-21634-076"/>
    <x v="236"/>
    <s v="27723-45097-MH"/>
    <s v="R-L-2.5"/>
    <x v="4"/>
    <n v="4"/>
    <x v="258"/>
    <s v="dbury7o@tinyurl.com"/>
    <x v="1"/>
    <s v="Castleblayney"/>
    <s v="Rob"/>
    <s v="L"/>
    <x v="2"/>
    <n v="27.484999999999996"/>
    <n v="109.93999999999998"/>
    <n v="1.6490999999999998"/>
    <n v="6.5963999999999992"/>
    <x v="0"/>
    <x v="1"/>
    <x v="0"/>
  </r>
  <r>
    <s v="XUS-73326-418"/>
    <x v="237"/>
    <s v="37078-56703-AF"/>
    <s v="E-L-1"/>
    <x v="33"/>
    <n v="6"/>
    <x v="259"/>
    <s v="gbroadbear7p@omniture.com"/>
    <x v="0"/>
    <s v="Columbia"/>
    <s v="Exc"/>
    <s v="L"/>
    <x v="0"/>
    <n v="14.85"/>
    <n v="89.1"/>
    <n v="1.6335"/>
    <n v="9.8010000000000002"/>
    <x v="1"/>
    <x v="1"/>
    <x v="1"/>
  </r>
  <r>
    <s v="XWD-18933-006"/>
    <x v="238"/>
    <s v="79420-11075-MY"/>
    <s v="A-L-0.2"/>
    <x v="29"/>
    <n v="2"/>
    <x v="260"/>
    <s v="epalfrey7q@devhub.com"/>
    <x v="0"/>
    <s v="Fort Wayne"/>
    <s v="Ara"/>
    <s v="L"/>
    <x v="3"/>
    <n v="3.8849999999999998"/>
    <n v="7.77"/>
    <n v="0.34964999999999996"/>
    <n v="0.69929999999999992"/>
    <x v="2"/>
    <x v="1"/>
    <x v="0"/>
  </r>
  <r>
    <s v="HPD-65272-772"/>
    <x v="52"/>
    <s v="57504-13456-UO"/>
    <s v="L-M-2.5"/>
    <x v="43"/>
    <n v="1"/>
    <x v="261"/>
    <s v="pmetrick7r@rakuten.co.jp"/>
    <x v="0"/>
    <s v="Saint Louis"/>
    <s v="Lib"/>
    <s v="M"/>
    <x v="2"/>
    <n v="33.464999999999996"/>
    <n v="33.464999999999996"/>
    <n v="4.3504499999999995"/>
    <n v="4.3504499999999995"/>
    <x v="3"/>
    <x v="0"/>
    <x v="0"/>
  </r>
  <r>
    <s v="JEG-93140-224"/>
    <x v="146"/>
    <s v="53751-57560-CN"/>
    <s v="E-M-0.5"/>
    <x v="1"/>
    <n v="5"/>
    <x v="262"/>
    <s v=""/>
    <x v="0"/>
    <s v="Portland"/>
    <s v="Exc"/>
    <s v="M"/>
    <x v="1"/>
    <n v="8.25"/>
    <n v="41.25"/>
    <n v="0.90749999999999997"/>
    <n v="4.5374999999999996"/>
    <x v="1"/>
    <x v="0"/>
    <x v="0"/>
  </r>
  <r>
    <s v="NNH-62058-950"/>
    <x v="239"/>
    <s v="96112-42558-EA"/>
    <s v="E-L-1"/>
    <x v="33"/>
    <n v="4"/>
    <x v="263"/>
    <s v="kkarby7t@sbwire.com"/>
    <x v="0"/>
    <s v="Boulder"/>
    <s v="Exc"/>
    <s v="L"/>
    <x v="0"/>
    <n v="14.85"/>
    <n v="59.4"/>
    <n v="1.6335"/>
    <n v="6.5339999999999998"/>
    <x v="1"/>
    <x v="1"/>
    <x v="0"/>
  </r>
  <r>
    <s v="LTD-71429-845"/>
    <x v="240"/>
    <s v="03157-23165-UB"/>
    <s v="A-L-0.5"/>
    <x v="42"/>
    <n v="1"/>
    <x v="264"/>
    <s v="fcrumpe7u@ftc.gov"/>
    <x v="2"/>
    <s v="Norton"/>
    <s v="Ara"/>
    <s v="L"/>
    <x v="1"/>
    <n v="7.77"/>
    <n v="7.77"/>
    <n v="0.69929999999999992"/>
    <n v="0.69929999999999992"/>
    <x v="2"/>
    <x v="1"/>
    <x v="1"/>
  </r>
  <r>
    <s v="MPV-26985-215"/>
    <x v="241"/>
    <s v="51466-52850-AG"/>
    <s v="R-D-0.5"/>
    <x v="34"/>
    <n v="1"/>
    <x v="265"/>
    <s v="achatto7v@sakura.ne.jp"/>
    <x v="2"/>
    <s v="Sheffield"/>
    <s v="Rob"/>
    <s v="D"/>
    <x v="1"/>
    <n v="5.3699999999999992"/>
    <n v="5.3699999999999992"/>
    <n v="0.32219999999999993"/>
    <n v="0.32219999999999993"/>
    <x v="0"/>
    <x v="2"/>
    <x v="0"/>
  </r>
  <r>
    <s v="IYO-10245-081"/>
    <x v="242"/>
    <s v="57145-31023-FK"/>
    <s v="E-M-2.5"/>
    <x v="28"/>
    <n v="3"/>
    <x v="266"/>
    <s v=""/>
    <x v="0"/>
    <s v="Louisville"/>
    <s v="Exc"/>
    <s v="M"/>
    <x v="2"/>
    <n v="31.624999999999996"/>
    <n v="94.874999999999986"/>
    <n v="3.4787499999999998"/>
    <n v="10.436249999999999"/>
    <x v="1"/>
    <x v="0"/>
    <x v="1"/>
  </r>
  <r>
    <s v="BYZ-39669-954"/>
    <x v="243"/>
    <s v="66408-53777-VE"/>
    <s v="L-L-2.5"/>
    <x v="26"/>
    <n v="1"/>
    <x v="267"/>
    <s v=""/>
    <x v="0"/>
    <s v="Buffalo"/>
    <s v="Lib"/>
    <s v="L"/>
    <x v="2"/>
    <n v="36.454999999999998"/>
    <n v="36.454999999999998"/>
    <n v="4.7391499999999995"/>
    <n v="4.7391499999999995"/>
    <x v="3"/>
    <x v="1"/>
    <x v="1"/>
  </r>
  <r>
    <s v="EFB-72860-209"/>
    <x v="244"/>
    <s v="53035-99701-WG"/>
    <s v="A-M-0.2"/>
    <x v="14"/>
    <n v="4"/>
    <x v="268"/>
    <s v="bmergue7y@umn.edu"/>
    <x v="0"/>
    <s v="Canton"/>
    <s v="Ara"/>
    <s v="M"/>
    <x v="3"/>
    <n v="3.375"/>
    <n v="13.5"/>
    <n v="0.30374999999999996"/>
    <n v="1.2149999999999999"/>
    <x v="2"/>
    <x v="0"/>
    <x v="0"/>
  </r>
  <r>
    <s v="GMM-72397-378"/>
    <x v="245"/>
    <s v="45899-92796-EI"/>
    <s v="R-L-0.2"/>
    <x v="40"/>
    <n v="4"/>
    <x v="269"/>
    <s v="kpatise7z@jigsy.com"/>
    <x v="0"/>
    <s v="Boston"/>
    <s v="Rob"/>
    <s v="L"/>
    <x v="3"/>
    <n v="3.5849999999999995"/>
    <n v="14.339999999999998"/>
    <n v="0.21509999999999996"/>
    <n v="0.86039999999999983"/>
    <x v="0"/>
    <x v="1"/>
    <x v="1"/>
  </r>
  <r>
    <s v="LYP-52345-883"/>
    <x v="246"/>
    <s v="17649-28133-PY"/>
    <s v="E-M-0.5"/>
    <x v="1"/>
    <n v="1"/>
    <x v="270"/>
    <s v=""/>
    <x v="1"/>
    <s v="Kinlough"/>
    <s v="Exc"/>
    <s v="M"/>
    <x v="1"/>
    <n v="8.25"/>
    <n v="8.25"/>
    <n v="0.90749999999999997"/>
    <n v="0.90749999999999997"/>
    <x v="1"/>
    <x v="0"/>
    <x v="0"/>
  </r>
  <r>
    <s v="DFK-35846-692"/>
    <x v="247"/>
    <s v="49612-33852-CN"/>
    <s v="R-D-0.2"/>
    <x v="25"/>
    <n v="5"/>
    <x v="271"/>
    <s v=""/>
    <x v="0"/>
    <s v="Lynchburg"/>
    <s v="Rob"/>
    <s v="D"/>
    <x v="3"/>
    <n v="2.6849999999999996"/>
    <n v="13.424999999999997"/>
    <n v="0.16109999999999997"/>
    <n v="0.80549999999999988"/>
    <x v="0"/>
    <x v="2"/>
    <x v="0"/>
  </r>
  <r>
    <s v="XAH-93337-609"/>
    <x v="248"/>
    <s v="66976-43829-YG"/>
    <s v="A-D-1"/>
    <x v="9"/>
    <n v="5"/>
    <x v="272"/>
    <s v="dduke82@vkontakte.ru"/>
    <x v="0"/>
    <s v="Los Angeles"/>
    <s v="Ara"/>
    <s v="D"/>
    <x v="0"/>
    <n v="9.9499999999999993"/>
    <n v="49.75"/>
    <n v="0.89549999999999985"/>
    <n v="4.4774999999999991"/>
    <x v="2"/>
    <x v="2"/>
    <x v="1"/>
  </r>
  <r>
    <s v="QKA-72582-644"/>
    <x v="249"/>
    <s v="64852-04619-XZ"/>
    <s v="E-M-0.5"/>
    <x v="1"/>
    <n v="2"/>
    <x v="273"/>
    <s v=""/>
    <x v="1"/>
    <s v="Drumcondra"/>
    <s v="Exc"/>
    <s v="M"/>
    <x v="1"/>
    <n v="8.25"/>
    <n v="16.5"/>
    <n v="0.90749999999999997"/>
    <n v="1.8149999999999999"/>
    <x v="1"/>
    <x v="0"/>
    <x v="1"/>
  </r>
  <r>
    <s v="ZDK-84567-102"/>
    <x v="250"/>
    <s v="58690-31815-VY"/>
    <s v="A-D-0.5"/>
    <x v="20"/>
    <n v="3"/>
    <x v="274"/>
    <s v="ihussey84@mapy.cz"/>
    <x v="0"/>
    <s v="Birmingham"/>
    <s v="Ara"/>
    <s v="D"/>
    <x v="1"/>
    <n v="5.97"/>
    <n v="17.91"/>
    <n v="0.5373"/>
    <n v="1.6118999999999999"/>
    <x v="2"/>
    <x v="2"/>
    <x v="1"/>
  </r>
  <r>
    <s v="WAV-38301-984"/>
    <x v="251"/>
    <s v="62863-81239-DT"/>
    <s v="A-D-0.5"/>
    <x v="20"/>
    <n v="5"/>
    <x v="275"/>
    <s v="cpinkerton85@upenn.edu"/>
    <x v="0"/>
    <s v="Alexandria"/>
    <s v="Ara"/>
    <s v="D"/>
    <x v="1"/>
    <n v="5.97"/>
    <n v="29.849999999999998"/>
    <n v="0.5373"/>
    <n v="2.6865000000000001"/>
    <x v="2"/>
    <x v="2"/>
    <x v="1"/>
  </r>
  <r>
    <s v="KZR-33023-209"/>
    <x v="177"/>
    <s v="21177-40725-CF"/>
    <s v="E-L-1"/>
    <x v="33"/>
    <n v="3"/>
    <x v="276"/>
    <s v=""/>
    <x v="0"/>
    <s v="Danbury"/>
    <s v="Exc"/>
    <s v="L"/>
    <x v="0"/>
    <n v="14.85"/>
    <n v="44.55"/>
    <n v="1.6335"/>
    <n v="4.9005000000000001"/>
    <x v="1"/>
    <x v="1"/>
    <x v="1"/>
  </r>
  <r>
    <s v="ULM-49433-003"/>
    <x v="252"/>
    <s v="99421-80253-UI"/>
    <s v="E-M-1"/>
    <x v="3"/>
    <n v="2"/>
    <x v="277"/>
    <s v=""/>
    <x v="0"/>
    <s v="Albany"/>
    <s v="Exc"/>
    <s v="M"/>
    <x v="0"/>
    <n v="13.75"/>
    <n v="27.5"/>
    <n v="1.5125"/>
    <n v="3.0249999999999999"/>
    <x v="1"/>
    <x v="0"/>
    <x v="1"/>
  </r>
  <r>
    <s v="SIB-83254-136"/>
    <x v="253"/>
    <s v="45315-50206-DK"/>
    <s v="R-M-0.5"/>
    <x v="8"/>
    <n v="6"/>
    <x v="278"/>
    <s v="dvizor88@furl.net"/>
    <x v="0"/>
    <s v="Naples"/>
    <s v="Rob"/>
    <s v="M"/>
    <x v="1"/>
    <n v="5.97"/>
    <n v="35.82"/>
    <n v="0.35819999999999996"/>
    <n v="2.1491999999999996"/>
    <x v="0"/>
    <x v="0"/>
    <x v="0"/>
  </r>
  <r>
    <s v="NOK-50349-551"/>
    <x v="254"/>
    <s v="09595-95726-OV"/>
    <s v="R-D-0.5"/>
    <x v="34"/>
    <n v="3"/>
    <x v="279"/>
    <s v="esedgebeer89@oaic.gov.au"/>
    <x v="0"/>
    <s v="Miami Beach"/>
    <s v="Rob"/>
    <s v="D"/>
    <x v="1"/>
    <n v="5.3699999999999992"/>
    <n v="16.11"/>
    <n v="0.32219999999999993"/>
    <n v="0.96659999999999979"/>
    <x v="0"/>
    <x v="2"/>
    <x v="0"/>
  </r>
  <r>
    <s v="YIS-96268-844"/>
    <x v="227"/>
    <s v="60221-67036-TD"/>
    <s v="E-L-0.2"/>
    <x v="46"/>
    <n v="6"/>
    <x v="280"/>
    <s v="klestrange8a@lulu.com"/>
    <x v="0"/>
    <s v="Atlanta"/>
    <s v="Exc"/>
    <s v="L"/>
    <x v="3"/>
    <n v="4.4550000000000001"/>
    <n v="26.73"/>
    <n v="0.49004999999999999"/>
    <n v="2.9402999999999997"/>
    <x v="1"/>
    <x v="1"/>
    <x v="0"/>
  </r>
  <r>
    <s v="CXI-04933-855"/>
    <x v="110"/>
    <s v="62923-29397-KX"/>
    <s v="E-L-2.5"/>
    <x v="10"/>
    <n v="6"/>
    <x v="281"/>
    <s v="ltanti8b@techcrunch.com"/>
    <x v="0"/>
    <s v="Corpus Christi"/>
    <s v="Exc"/>
    <s v="L"/>
    <x v="2"/>
    <n v="34.154999999999994"/>
    <n v="204.92999999999995"/>
    <n v="3.7570499999999996"/>
    <n v="22.542299999999997"/>
    <x v="1"/>
    <x v="1"/>
    <x v="0"/>
  </r>
  <r>
    <s v="IZU-90429-382"/>
    <x v="182"/>
    <s v="33011-52383-BA"/>
    <s v="A-L-1"/>
    <x v="2"/>
    <n v="3"/>
    <x v="282"/>
    <s v="ade8c@1und1.de"/>
    <x v="0"/>
    <s v="Honolulu"/>
    <s v="Ara"/>
    <s v="L"/>
    <x v="0"/>
    <n v="12.95"/>
    <n v="38.849999999999994"/>
    <n v="1.1655"/>
    <n v="3.4965000000000002"/>
    <x v="2"/>
    <x v="1"/>
    <x v="0"/>
  </r>
  <r>
    <s v="WIT-40912-783"/>
    <x v="255"/>
    <s v="86768-91598-FA"/>
    <s v="L-D-0.2"/>
    <x v="12"/>
    <n v="4"/>
    <x v="283"/>
    <s v="tjedrachowicz8d@acquirethisname.com"/>
    <x v="0"/>
    <s v="Austin"/>
    <s v="Lib"/>
    <s v="D"/>
    <x v="3"/>
    <n v="3.8849999999999998"/>
    <n v="15.54"/>
    <n v="0.50505"/>
    <n v="2.0202"/>
    <x v="3"/>
    <x v="2"/>
    <x v="0"/>
  </r>
  <r>
    <s v="PSD-57291-590"/>
    <x v="256"/>
    <s v="37191-12203-MX"/>
    <s v="A-M-0.5"/>
    <x v="19"/>
    <n v="1"/>
    <x v="284"/>
    <s v="pstonner8e@moonfruit.com"/>
    <x v="0"/>
    <s v="Baltimore"/>
    <s v="Ara"/>
    <s v="M"/>
    <x v="1"/>
    <n v="6.75"/>
    <n v="6.75"/>
    <n v="0.60749999999999993"/>
    <n v="0.60749999999999993"/>
    <x v="2"/>
    <x v="0"/>
    <x v="1"/>
  </r>
  <r>
    <s v="GOI-41472-677"/>
    <x v="3"/>
    <s v="16545-76328-JY"/>
    <s v="E-D-2.5"/>
    <x v="47"/>
    <n v="4"/>
    <x v="285"/>
    <s v="dtingly8f@goo.ne.jp"/>
    <x v="0"/>
    <s v="Lexington"/>
    <s v="Exc"/>
    <s v="D"/>
    <x v="2"/>
    <n v="27.945"/>
    <n v="111.78"/>
    <n v="3.07395"/>
    <n v="12.2958"/>
    <x v="1"/>
    <x v="2"/>
    <x v="0"/>
  </r>
  <r>
    <s v="KTX-17944-494"/>
    <x v="257"/>
    <s v="74330-29286-RO"/>
    <s v="A-L-0.2"/>
    <x v="29"/>
    <n v="1"/>
    <x v="286"/>
    <s v="crushe8n@about.me"/>
    <x v="0"/>
    <s v="Charlotte"/>
    <s v="Ara"/>
    <s v="L"/>
    <x v="3"/>
    <n v="3.8849999999999998"/>
    <n v="3.8849999999999998"/>
    <n v="0.34964999999999996"/>
    <n v="0.34964999999999996"/>
    <x v="2"/>
    <x v="1"/>
    <x v="0"/>
  </r>
  <r>
    <s v="RDM-99811-230"/>
    <x v="258"/>
    <s v="22349-47389-GY"/>
    <s v="L-M-0.2"/>
    <x v="21"/>
    <n v="5"/>
    <x v="287"/>
    <s v="bchecci8h@usa.gov"/>
    <x v="2"/>
    <s v="Eaton"/>
    <s v="Lib"/>
    <s v="M"/>
    <x v="3"/>
    <n v="4.3650000000000002"/>
    <n v="21.825000000000003"/>
    <n v="0.56745000000000001"/>
    <n v="2.83725"/>
    <x v="3"/>
    <x v="0"/>
    <x v="1"/>
  </r>
  <r>
    <s v="JTU-55897-581"/>
    <x v="259"/>
    <s v="70290-38099-GB"/>
    <s v="R-M-0.2"/>
    <x v="36"/>
    <n v="5"/>
    <x v="288"/>
    <s v="jbagot8i@mac.com"/>
    <x v="0"/>
    <s v="Lincoln"/>
    <s v="Rob"/>
    <s v="M"/>
    <x v="3"/>
    <n v="2.9849999999999999"/>
    <n v="14.924999999999999"/>
    <n v="0.17909999999999998"/>
    <n v="0.89549999999999996"/>
    <x v="0"/>
    <x v="0"/>
    <x v="1"/>
  </r>
  <r>
    <s v="CRK-07584-240"/>
    <x v="260"/>
    <s v="18741-72071-PP"/>
    <s v="A-M-1"/>
    <x v="17"/>
    <n v="3"/>
    <x v="289"/>
    <s v="ebeeble8j@soundcloud.com"/>
    <x v="0"/>
    <s v="Cincinnati"/>
    <s v="Ara"/>
    <s v="M"/>
    <x v="0"/>
    <n v="11.25"/>
    <n v="33.75"/>
    <n v="1.0125"/>
    <n v="3.0374999999999996"/>
    <x v="2"/>
    <x v="0"/>
    <x v="0"/>
  </r>
  <r>
    <s v="MKE-75518-399"/>
    <x v="261"/>
    <s v="62588-82624-II"/>
    <s v="A-M-1"/>
    <x v="17"/>
    <n v="3"/>
    <x v="290"/>
    <s v="cfluin8k@flickr.com"/>
    <x v="2"/>
    <s v="Sheffield"/>
    <s v="Ara"/>
    <s v="M"/>
    <x v="0"/>
    <n v="11.25"/>
    <n v="33.75"/>
    <n v="1.0125"/>
    <n v="3.0374999999999996"/>
    <x v="2"/>
    <x v="0"/>
    <x v="1"/>
  </r>
  <r>
    <s v="AEL-51169-725"/>
    <x v="262"/>
    <s v="37430-29579-HD"/>
    <s v="L-M-0.2"/>
    <x v="21"/>
    <n v="6"/>
    <x v="291"/>
    <s v="ebletsor8l@vinaora.com"/>
    <x v="0"/>
    <s v="West Hartford"/>
    <s v="Lib"/>
    <s v="M"/>
    <x v="3"/>
    <n v="4.3650000000000002"/>
    <n v="26.19"/>
    <n v="0.56745000000000001"/>
    <n v="3.4047000000000001"/>
    <x v="3"/>
    <x v="0"/>
    <x v="0"/>
  </r>
  <r>
    <s v="ZGM-83108-823"/>
    <x v="263"/>
    <s v="84132-22322-QT"/>
    <s v="E-L-1"/>
    <x v="33"/>
    <n v="1"/>
    <x v="292"/>
    <s v="pbrydell8m@bloglovin.com"/>
    <x v="1"/>
    <s v="Listowel"/>
    <s v="Exc"/>
    <s v="L"/>
    <x v="0"/>
    <n v="14.85"/>
    <n v="14.85"/>
    <n v="1.6335"/>
    <n v="1.6335"/>
    <x v="1"/>
    <x v="1"/>
    <x v="1"/>
  </r>
  <r>
    <s v="JBP-78754-392"/>
    <x v="212"/>
    <s v="74330-29286-RO"/>
    <s v="E-M-2.5"/>
    <x v="28"/>
    <n v="6"/>
    <x v="286"/>
    <s v="crushe8n@about.me"/>
    <x v="0"/>
    <s v="Charlotte"/>
    <s v="Exc"/>
    <s v="M"/>
    <x v="2"/>
    <n v="31.624999999999996"/>
    <n v="189.74999999999997"/>
    <n v="3.4787499999999998"/>
    <n v="20.872499999999999"/>
    <x v="1"/>
    <x v="0"/>
    <x v="0"/>
  </r>
  <r>
    <s v="RNH-54912-747"/>
    <x v="187"/>
    <s v="37445-17791-NQ"/>
    <s v="R-M-0.5"/>
    <x v="8"/>
    <n v="1"/>
    <x v="293"/>
    <s v="nleethem8o@mac.com"/>
    <x v="0"/>
    <s v="Alexandria"/>
    <s v="Rob"/>
    <s v="M"/>
    <x v="1"/>
    <n v="5.97"/>
    <n v="5.97"/>
    <n v="0.35819999999999996"/>
    <n v="0.35819999999999996"/>
    <x v="0"/>
    <x v="0"/>
    <x v="0"/>
  </r>
  <r>
    <s v="JDS-33440-914"/>
    <x v="248"/>
    <s v="58511-10548-ZU"/>
    <s v="R-M-1"/>
    <x v="0"/>
    <n v="3"/>
    <x v="294"/>
    <s v="anesfield8p@people.com.cn"/>
    <x v="2"/>
    <s v="Belfast"/>
    <s v="Rob"/>
    <s v="M"/>
    <x v="0"/>
    <n v="9.9499999999999993"/>
    <n v="29.849999999999998"/>
    <n v="0.59699999999999998"/>
    <n v="1.7909999999999999"/>
    <x v="0"/>
    <x v="0"/>
    <x v="0"/>
  </r>
  <r>
    <s v="SYX-48878-182"/>
    <x v="264"/>
    <s v="47725-34771-FJ"/>
    <s v="R-D-1"/>
    <x v="39"/>
    <n v="5"/>
    <x v="295"/>
    <s v=""/>
    <x v="0"/>
    <s v="Las Vegas"/>
    <s v="Rob"/>
    <s v="D"/>
    <x v="0"/>
    <n v="8.9499999999999993"/>
    <n v="44.75"/>
    <n v="0.53699999999999992"/>
    <n v="2.6849999999999996"/>
    <x v="0"/>
    <x v="2"/>
    <x v="1"/>
  </r>
  <r>
    <s v="ZGD-94763-868"/>
    <x v="265"/>
    <s v="53086-67334-KT"/>
    <s v="E-L-2.5"/>
    <x v="10"/>
    <n v="1"/>
    <x v="296"/>
    <s v="mbrockway8r@ibm.com"/>
    <x v="0"/>
    <s v="Des Moines"/>
    <s v="Exc"/>
    <s v="L"/>
    <x v="2"/>
    <n v="34.154999999999994"/>
    <n v="34.154999999999994"/>
    <n v="3.7570499999999996"/>
    <n v="3.7570499999999996"/>
    <x v="1"/>
    <x v="1"/>
    <x v="0"/>
  </r>
  <r>
    <s v="CZY-70361-485"/>
    <x v="266"/>
    <s v="83308-82257-UN"/>
    <s v="E-L-2.5"/>
    <x v="10"/>
    <n v="6"/>
    <x v="297"/>
    <s v="nlush8s@dedecms.com"/>
    <x v="1"/>
    <s v="Ballivor"/>
    <s v="Exc"/>
    <s v="L"/>
    <x v="2"/>
    <n v="34.154999999999994"/>
    <n v="204.92999999999995"/>
    <n v="3.7570499999999996"/>
    <n v="22.542299999999997"/>
    <x v="1"/>
    <x v="1"/>
    <x v="1"/>
  </r>
  <r>
    <s v="RJR-12175-899"/>
    <x v="267"/>
    <s v="37274-08534-FM"/>
    <s v="E-D-0.5"/>
    <x v="6"/>
    <n v="3"/>
    <x v="298"/>
    <s v="smcmillian8t@csmonitor.com"/>
    <x v="0"/>
    <s v="Akron"/>
    <s v="Exc"/>
    <s v="D"/>
    <x v="1"/>
    <n v="7.29"/>
    <n v="21.87"/>
    <n v="0.80190000000000006"/>
    <n v="2.4057000000000004"/>
    <x v="1"/>
    <x v="2"/>
    <x v="1"/>
  </r>
  <r>
    <s v="ELB-07929-407"/>
    <x v="204"/>
    <s v="54004-04664-AA"/>
    <s v="A-M-2.5"/>
    <x v="37"/>
    <n v="2"/>
    <x v="299"/>
    <s v="tbennison8u@google.cn"/>
    <x v="0"/>
    <s v="West Palm Beach"/>
    <s v="Ara"/>
    <s v="M"/>
    <x v="2"/>
    <n v="25.874999999999996"/>
    <n v="51.749999999999993"/>
    <n v="2.3287499999999994"/>
    <n v="4.6574999999999989"/>
    <x v="2"/>
    <x v="0"/>
    <x v="0"/>
  </r>
  <r>
    <s v="UJQ-54441-340"/>
    <x v="268"/>
    <s v="26822-19510-SD"/>
    <s v="E-M-0.2"/>
    <x v="18"/>
    <n v="2"/>
    <x v="300"/>
    <s v="gtweed8v@yolasite.com"/>
    <x v="0"/>
    <s v="Fresno"/>
    <s v="Exc"/>
    <s v="M"/>
    <x v="3"/>
    <n v="4.125"/>
    <n v="8.25"/>
    <n v="0.45374999999999999"/>
    <n v="0.90749999999999997"/>
    <x v="1"/>
    <x v="0"/>
    <x v="0"/>
  </r>
  <r>
    <s v="UJQ-54441-340"/>
    <x v="268"/>
    <s v="26822-19510-SD"/>
    <s v="A-L-0.2"/>
    <x v="29"/>
    <n v="5"/>
    <x v="300"/>
    <s v="gtweed8v@yolasite.com"/>
    <x v="0"/>
    <s v="Fresno"/>
    <s v="Ara"/>
    <s v="L"/>
    <x v="3"/>
    <n v="3.8849999999999998"/>
    <n v="19.424999999999997"/>
    <n v="0.34964999999999996"/>
    <n v="1.7482499999999999"/>
    <x v="2"/>
    <x v="1"/>
    <x v="0"/>
  </r>
  <r>
    <s v="OWY-43108-475"/>
    <x v="269"/>
    <s v="06432-73165-ML"/>
    <s v="A-M-0.2"/>
    <x v="14"/>
    <n v="6"/>
    <x v="301"/>
    <s v="ggoggin8x@wix.com"/>
    <x v="1"/>
    <s v="Sandyford"/>
    <s v="Ara"/>
    <s v="M"/>
    <x v="3"/>
    <n v="3.375"/>
    <n v="20.25"/>
    <n v="0.30374999999999996"/>
    <n v="1.8224999999999998"/>
    <x v="2"/>
    <x v="0"/>
    <x v="0"/>
  </r>
  <r>
    <s v="GNO-91911-159"/>
    <x v="145"/>
    <s v="96503-31833-CW"/>
    <s v="L-D-0.5"/>
    <x v="31"/>
    <n v="3"/>
    <x v="302"/>
    <s v="sjeyness8y@biglobe.ne.jp"/>
    <x v="1"/>
    <s v="Dublin"/>
    <s v="Lib"/>
    <s v="D"/>
    <x v="1"/>
    <n v="7.77"/>
    <n v="23.31"/>
    <n v="1.0101"/>
    <n v="3.0303"/>
    <x v="3"/>
    <x v="2"/>
    <x v="1"/>
  </r>
  <r>
    <s v="CNY-06284-066"/>
    <x v="270"/>
    <s v="63985-64148-MG"/>
    <s v="E-D-0.2"/>
    <x v="15"/>
    <n v="5"/>
    <x v="303"/>
    <s v="dbonhome8z@shinystat.com"/>
    <x v="0"/>
    <s v="Knoxville"/>
    <s v="Exc"/>
    <s v="D"/>
    <x v="3"/>
    <n v="3.645"/>
    <n v="18.225000000000001"/>
    <n v="0.40095000000000003"/>
    <n v="2.00475"/>
    <x v="1"/>
    <x v="2"/>
    <x v="0"/>
  </r>
  <r>
    <s v="OQS-46321-904"/>
    <x v="271"/>
    <s v="19597-91185-CM"/>
    <s v="E-M-1"/>
    <x v="3"/>
    <n v="1"/>
    <x v="304"/>
    <s v=""/>
    <x v="0"/>
    <s v="Shawnee Mission"/>
    <s v="Exc"/>
    <s v="M"/>
    <x v="0"/>
    <n v="13.75"/>
    <n v="13.75"/>
    <n v="1.5125"/>
    <n v="1.5125"/>
    <x v="1"/>
    <x v="0"/>
    <x v="1"/>
  </r>
  <r>
    <s v="IBW-87442-480"/>
    <x v="272"/>
    <s v="79814-23626-JR"/>
    <s v="A-L-2.5"/>
    <x v="44"/>
    <n v="1"/>
    <x v="305"/>
    <s v="tle91@epa.gov"/>
    <x v="0"/>
    <s v="San Francisco"/>
    <s v="Ara"/>
    <s v="L"/>
    <x v="2"/>
    <n v="29.784999999999997"/>
    <n v="29.784999999999997"/>
    <n v="2.6806499999999995"/>
    <n v="2.6806499999999995"/>
    <x v="2"/>
    <x v="1"/>
    <x v="0"/>
  </r>
  <r>
    <s v="DGZ-82537-477"/>
    <x v="252"/>
    <s v="43439-94003-DW"/>
    <s v="R-D-1"/>
    <x v="39"/>
    <n v="5"/>
    <x v="306"/>
    <s v=""/>
    <x v="0"/>
    <s v="Birmingham"/>
    <s v="Rob"/>
    <s v="D"/>
    <x v="0"/>
    <n v="8.9499999999999993"/>
    <n v="44.75"/>
    <n v="0.53699999999999992"/>
    <n v="2.6849999999999996"/>
    <x v="0"/>
    <x v="2"/>
    <x v="1"/>
  </r>
  <r>
    <s v="LPS-39089-432"/>
    <x v="273"/>
    <s v="97655-45555-LI"/>
    <s v="R-D-1"/>
    <x v="39"/>
    <n v="5"/>
    <x v="307"/>
    <s v="balldridge93@yandex.ru"/>
    <x v="0"/>
    <s v="Brooklyn"/>
    <s v="Rob"/>
    <s v="D"/>
    <x v="0"/>
    <n v="8.9499999999999993"/>
    <n v="44.75"/>
    <n v="0.53699999999999992"/>
    <n v="2.6849999999999996"/>
    <x v="0"/>
    <x v="2"/>
    <x v="0"/>
  </r>
  <r>
    <s v="MQU-86100-929"/>
    <x v="274"/>
    <s v="64418-01720-VW"/>
    <s v="L-L-0.5"/>
    <x v="23"/>
    <n v="4"/>
    <x v="308"/>
    <s v=""/>
    <x v="0"/>
    <s v="El Paso"/>
    <s v="Lib"/>
    <s v="L"/>
    <x v="1"/>
    <n v="9.51"/>
    <n v="38.04"/>
    <n v="1.2363"/>
    <n v="4.9451999999999998"/>
    <x v="3"/>
    <x v="1"/>
    <x v="0"/>
  </r>
  <r>
    <s v="XUR-14132-391"/>
    <x v="275"/>
    <s v="96836-09258-RI"/>
    <s v="R-D-0.5"/>
    <x v="34"/>
    <n v="4"/>
    <x v="309"/>
    <s v="lgoodger95@guardian.co.uk"/>
    <x v="0"/>
    <s v="Sacramento"/>
    <s v="Rob"/>
    <s v="D"/>
    <x v="1"/>
    <n v="5.3699999999999992"/>
    <n v="21.479999999999997"/>
    <n v="0.32219999999999993"/>
    <n v="1.2887999999999997"/>
    <x v="0"/>
    <x v="2"/>
    <x v="0"/>
  </r>
  <r>
    <s v="OVI-27064-381"/>
    <x v="276"/>
    <s v="37274-08534-FM"/>
    <s v="R-D-0.5"/>
    <x v="34"/>
    <n v="3"/>
    <x v="298"/>
    <s v="smcmillian8t@csmonitor.com"/>
    <x v="0"/>
    <s v="Akron"/>
    <s v="Rob"/>
    <s v="D"/>
    <x v="1"/>
    <n v="5.3699999999999992"/>
    <n v="16.11"/>
    <n v="0.32219999999999993"/>
    <n v="0.96659999999999979"/>
    <x v="0"/>
    <x v="2"/>
    <x v="1"/>
  </r>
  <r>
    <s v="SHP-17012-870"/>
    <x v="277"/>
    <s v="69529-07533-CV"/>
    <s v="R-M-2.5"/>
    <x v="13"/>
    <n v="1"/>
    <x v="310"/>
    <s v="cdrewett97@wikipedia.org"/>
    <x v="0"/>
    <s v="Boynton Beach"/>
    <s v="Rob"/>
    <s v="M"/>
    <x v="2"/>
    <n v="22.884999999999998"/>
    <n v="22.884999999999998"/>
    <n v="1.3730999999999998"/>
    <n v="1.3730999999999998"/>
    <x v="0"/>
    <x v="0"/>
    <x v="0"/>
  </r>
  <r>
    <s v="FDY-03414-903"/>
    <x v="278"/>
    <s v="94840-49457-UD"/>
    <s v="A-D-0.5"/>
    <x v="20"/>
    <n v="3"/>
    <x v="311"/>
    <s v="qparsons98@blogtalkradio.com"/>
    <x v="0"/>
    <s v="Los Angeles"/>
    <s v="Ara"/>
    <s v="D"/>
    <x v="1"/>
    <n v="5.97"/>
    <n v="17.91"/>
    <n v="0.5373"/>
    <n v="1.6118999999999999"/>
    <x v="2"/>
    <x v="2"/>
    <x v="0"/>
  </r>
  <r>
    <s v="WXT-85291-143"/>
    <x v="279"/>
    <s v="81414-81273-DK"/>
    <s v="R-M-0.5"/>
    <x v="8"/>
    <n v="4"/>
    <x v="312"/>
    <s v="vceely99@auda.org.au"/>
    <x v="0"/>
    <s v="Baltimore"/>
    <s v="Rob"/>
    <s v="M"/>
    <x v="1"/>
    <n v="5.97"/>
    <n v="23.88"/>
    <n v="0.35819999999999996"/>
    <n v="1.4327999999999999"/>
    <x v="0"/>
    <x v="0"/>
    <x v="0"/>
  </r>
  <r>
    <s v="QNP-18893-547"/>
    <x v="280"/>
    <s v="76930-61689-CH"/>
    <s v="R-L-1"/>
    <x v="41"/>
    <n v="5"/>
    <x v="313"/>
    <s v=""/>
    <x v="0"/>
    <s v="Salt Lake City"/>
    <s v="Rob"/>
    <s v="L"/>
    <x v="0"/>
    <n v="11.95"/>
    <n v="59.75"/>
    <n v="0.71699999999999997"/>
    <n v="3.585"/>
    <x v="0"/>
    <x v="1"/>
    <x v="1"/>
  </r>
  <r>
    <s v="DOH-92927-530"/>
    <x v="281"/>
    <s v="12839-56537-TQ"/>
    <s v="L-L-0.2"/>
    <x v="7"/>
    <n v="6"/>
    <x v="314"/>
    <s v="cvasiliev9b@discuz.net"/>
    <x v="0"/>
    <s v="Garland"/>
    <s v="Lib"/>
    <s v="L"/>
    <x v="3"/>
    <n v="4.7549999999999999"/>
    <n v="28.53"/>
    <n v="0.61814999999999998"/>
    <n v="3.7088999999999999"/>
    <x v="3"/>
    <x v="1"/>
    <x v="0"/>
  </r>
  <r>
    <s v="HGJ-82768-173"/>
    <x v="282"/>
    <s v="62741-01322-HU"/>
    <s v="A-M-1"/>
    <x v="17"/>
    <n v="4"/>
    <x v="315"/>
    <s v="tomoylan9c@liveinternet.ru"/>
    <x v="2"/>
    <s v="Church End"/>
    <s v="Ara"/>
    <s v="M"/>
    <x v="0"/>
    <n v="11.25"/>
    <n v="45"/>
    <n v="1.0125"/>
    <n v="4.05"/>
    <x v="2"/>
    <x v="0"/>
    <x v="1"/>
  </r>
  <r>
    <s v="YPT-95383-088"/>
    <x v="283"/>
    <s v="43439-94003-DW"/>
    <s v="E-D-2.5"/>
    <x v="47"/>
    <n v="2"/>
    <x v="306"/>
    <s v=""/>
    <x v="0"/>
    <s v="Birmingham"/>
    <s v="Exc"/>
    <s v="D"/>
    <x v="2"/>
    <n v="27.945"/>
    <n v="55.89"/>
    <n v="3.07395"/>
    <n v="6.1478999999999999"/>
    <x v="1"/>
    <x v="2"/>
    <x v="1"/>
  </r>
  <r>
    <s v="OYH-16533-767"/>
    <x v="284"/>
    <s v="44932-34838-RM"/>
    <s v="E-L-1"/>
    <x v="33"/>
    <n v="4"/>
    <x v="316"/>
    <s v="wfetherston9e@constantcontact.com"/>
    <x v="0"/>
    <s v="New York City"/>
    <s v="Exc"/>
    <s v="L"/>
    <x v="0"/>
    <n v="14.85"/>
    <n v="59.4"/>
    <n v="1.6335"/>
    <n v="6.5339999999999998"/>
    <x v="1"/>
    <x v="1"/>
    <x v="1"/>
  </r>
  <r>
    <s v="DWW-28642-549"/>
    <x v="285"/>
    <s v="91181-19412-RQ"/>
    <s v="E-D-0.2"/>
    <x v="15"/>
    <n v="2"/>
    <x v="317"/>
    <s v="erasmus9f@techcrunch.com"/>
    <x v="0"/>
    <s v="Boston"/>
    <s v="Exc"/>
    <s v="D"/>
    <x v="3"/>
    <n v="3.645"/>
    <n v="7.29"/>
    <n v="0.40095000000000003"/>
    <n v="0.80190000000000006"/>
    <x v="1"/>
    <x v="2"/>
    <x v="0"/>
  </r>
  <r>
    <s v="CGO-79583-871"/>
    <x v="286"/>
    <s v="37182-54930-XC"/>
    <s v="E-D-0.5"/>
    <x v="6"/>
    <n v="1"/>
    <x v="318"/>
    <s v="wgiorgioni9g@wikipedia.org"/>
    <x v="0"/>
    <s v="San Francisco"/>
    <s v="Exc"/>
    <s v="D"/>
    <x v="1"/>
    <n v="7.29"/>
    <n v="7.29"/>
    <n v="0.80190000000000006"/>
    <n v="0.80190000000000006"/>
    <x v="1"/>
    <x v="2"/>
    <x v="0"/>
  </r>
  <r>
    <s v="TFY-52090-386"/>
    <x v="287"/>
    <s v="08613-17327-XT"/>
    <s v="E-L-0.5"/>
    <x v="38"/>
    <n v="2"/>
    <x v="319"/>
    <s v="lscargle9h@myspace.com"/>
    <x v="0"/>
    <s v="Indianapolis"/>
    <s v="Exc"/>
    <s v="L"/>
    <x v="1"/>
    <n v="8.91"/>
    <n v="17.82"/>
    <n v="0.98009999999999997"/>
    <n v="1.9601999999999999"/>
    <x v="1"/>
    <x v="1"/>
    <x v="1"/>
  </r>
  <r>
    <s v="TFY-52090-386"/>
    <x v="287"/>
    <s v="08613-17327-XT"/>
    <s v="L-D-0.5"/>
    <x v="31"/>
    <n v="5"/>
    <x v="319"/>
    <s v="lscargle9h@myspace.com"/>
    <x v="0"/>
    <s v="Indianapolis"/>
    <s v="Lib"/>
    <s v="D"/>
    <x v="1"/>
    <n v="7.77"/>
    <n v="38.849999999999994"/>
    <n v="1.0101"/>
    <n v="5.0504999999999995"/>
    <x v="3"/>
    <x v="2"/>
    <x v="1"/>
  </r>
  <r>
    <s v="NYY-73968-094"/>
    <x v="288"/>
    <s v="70451-38048-AH"/>
    <s v="R-D-0.5"/>
    <x v="34"/>
    <n v="6"/>
    <x v="320"/>
    <s v="nclimance9j@europa.eu"/>
    <x v="0"/>
    <s v="Seattle"/>
    <s v="Rob"/>
    <s v="D"/>
    <x v="1"/>
    <n v="5.3699999999999992"/>
    <n v="32.22"/>
    <n v="0.32219999999999993"/>
    <n v="1.9331999999999996"/>
    <x v="0"/>
    <x v="2"/>
    <x v="1"/>
  </r>
  <r>
    <s v="QEY-71761-460"/>
    <x v="250"/>
    <s v="35442-75769-PL"/>
    <s v="R-M-1"/>
    <x v="0"/>
    <n v="2"/>
    <x v="321"/>
    <s v=""/>
    <x v="1"/>
    <s v="Dunmanway"/>
    <s v="Rob"/>
    <s v="M"/>
    <x v="0"/>
    <n v="9.9499999999999993"/>
    <n v="19.899999999999999"/>
    <n v="0.59699999999999998"/>
    <n v="1.194"/>
    <x v="0"/>
    <x v="0"/>
    <x v="0"/>
  </r>
  <r>
    <s v="GKQ-82603-910"/>
    <x v="289"/>
    <s v="83737-56117-JE"/>
    <s v="R-L-1"/>
    <x v="41"/>
    <n v="5"/>
    <x v="322"/>
    <s v="asnazle9l@oracle.com"/>
    <x v="0"/>
    <s v="Montgomery"/>
    <s v="Rob"/>
    <s v="L"/>
    <x v="0"/>
    <n v="11.95"/>
    <n v="59.75"/>
    <n v="0.71699999999999997"/>
    <n v="3.585"/>
    <x v="0"/>
    <x v="1"/>
    <x v="1"/>
  </r>
  <r>
    <s v="IOB-32673-745"/>
    <x v="290"/>
    <s v="07095-81281-NJ"/>
    <s v="A-L-0.5"/>
    <x v="42"/>
    <n v="3"/>
    <x v="323"/>
    <s v="rworg9m@arstechnica.com"/>
    <x v="0"/>
    <s v="Dallas"/>
    <s v="Ara"/>
    <s v="L"/>
    <x v="1"/>
    <n v="7.77"/>
    <n v="23.31"/>
    <n v="0.69929999999999992"/>
    <n v="2.0978999999999997"/>
    <x v="2"/>
    <x v="1"/>
    <x v="0"/>
  </r>
  <r>
    <s v="YAU-98893-150"/>
    <x v="291"/>
    <s v="77043-48851-HG"/>
    <s v="L-M-1"/>
    <x v="24"/>
    <n v="3"/>
    <x v="324"/>
    <s v="ldanes9n@umn.edu"/>
    <x v="0"/>
    <s v="Topeka"/>
    <s v="Lib"/>
    <s v="M"/>
    <x v="0"/>
    <n v="14.55"/>
    <n v="43.650000000000006"/>
    <n v="1.8915000000000002"/>
    <n v="5.6745000000000001"/>
    <x v="3"/>
    <x v="0"/>
    <x v="1"/>
  </r>
  <r>
    <s v="XNM-14163-951"/>
    <x v="292"/>
    <s v="78224-60622-KH"/>
    <s v="E-L-2.5"/>
    <x v="10"/>
    <n v="6"/>
    <x v="325"/>
    <s v="skeynd9o@narod.ru"/>
    <x v="0"/>
    <s v="Tyler"/>
    <s v="Exc"/>
    <s v="L"/>
    <x v="2"/>
    <n v="34.154999999999994"/>
    <n v="204.92999999999995"/>
    <n v="3.7570499999999996"/>
    <n v="22.542299999999997"/>
    <x v="1"/>
    <x v="1"/>
    <x v="1"/>
  </r>
  <r>
    <s v="JPB-45297-000"/>
    <x v="293"/>
    <s v="83105-86631-IU"/>
    <s v="R-L-0.2"/>
    <x v="40"/>
    <n v="4"/>
    <x v="326"/>
    <s v="ddaveridge9p@arstechnica.com"/>
    <x v="0"/>
    <s v="Los Angeles"/>
    <s v="Rob"/>
    <s v="L"/>
    <x v="3"/>
    <n v="3.5849999999999995"/>
    <n v="14.339999999999998"/>
    <n v="0.21509999999999996"/>
    <n v="0.86039999999999983"/>
    <x v="0"/>
    <x v="1"/>
    <x v="1"/>
  </r>
  <r>
    <s v="MOU-74341-266"/>
    <x v="294"/>
    <s v="99358-65399-TC"/>
    <s v="A-D-0.5"/>
    <x v="20"/>
    <n v="4"/>
    <x v="327"/>
    <s v="jawdry9q@utexas.edu"/>
    <x v="0"/>
    <s v="Shreveport"/>
    <s v="Ara"/>
    <s v="D"/>
    <x v="1"/>
    <n v="5.97"/>
    <n v="23.88"/>
    <n v="0.5373"/>
    <n v="2.1492"/>
    <x v="2"/>
    <x v="2"/>
    <x v="1"/>
  </r>
  <r>
    <s v="DHJ-87461-571"/>
    <x v="295"/>
    <s v="94525-76037-JP"/>
    <s v="A-M-1"/>
    <x v="17"/>
    <n v="2"/>
    <x v="328"/>
    <s v="eryles9r@fastcompany.com"/>
    <x v="0"/>
    <s v="Boise"/>
    <s v="Ara"/>
    <s v="M"/>
    <x v="0"/>
    <n v="11.25"/>
    <n v="22.5"/>
    <n v="1.0125"/>
    <n v="2.0249999999999999"/>
    <x v="2"/>
    <x v="0"/>
    <x v="1"/>
  </r>
  <r>
    <s v="DKM-97676-850"/>
    <x v="296"/>
    <s v="43439-94003-DW"/>
    <s v="E-D-0.5"/>
    <x v="6"/>
    <n v="5"/>
    <x v="306"/>
    <s v=""/>
    <x v="0"/>
    <s v="Birmingham"/>
    <s v="Exc"/>
    <s v="D"/>
    <x v="1"/>
    <n v="7.29"/>
    <n v="36.450000000000003"/>
    <n v="0.80190000000000006"/>
    <n v="4.0095000000000001"/>
    <x v="1"/>
    <x v="2"/>
    <x v="1"/>
  </r>
  <r>
    <s v="UEB-09112-118"/>
    <x v="297"/>
    <s v="82718-93677-XO"/>
    <s v="A-M-0.5"/>
    <x v="19"/>
    <n v="4"/>
    <x v="329"/>
    <s v=""/>
    <x v="0"/>
    <s v="Montgomery"/>
    <s v="Ara"/>
    <s v="M"/>
    <x v="1"/>
    <n v="6.75"/>
    <n v="27"/>
    <n v="0.60749999999999993"/>
    <n v="2.4299999999999997"/>
    <x v="2"/>
    <x v="0"/>
    <x v="0"/>
  </r>
  <r>
    <s v="ORZ-67699-748"/>
    <x v="298"/>
    <s v="44708-78241-DF"/>
    <s v="A-M-2.5"/>
    <x v="37"/>
    <n v="6"/>
    <x v="330"/>
    <s v="jcaldicott9u@usda.gov"/>
    <x v="0"/>
    <s v="Fort Pierce"/>
    <s v="Ara"/>
    <s v="M"/>
    <x v="2"/>
    <n v="25.874999999999996"/>
    <n v="155.24999999999997"/>
    <n v="2.3287499999999994"/>
    <n v="13.972499999999997"/>
    <x v="2"/>
    <x v="0"/>
    <x v="1"/>
  </r>
  <r>
    <s v="JXP-28398-485"/>
    <x v="299"/>
    <s v="23039-93032-FN"/>
    <s v="A-D-2.5"/>
    <x v="30"/>
    <n v="5"/>
    <x v="331"/>
    <s v="mvedmore9v@a8.net"/>
    <x v="0"/>
    <s v="Greensboro"/>
    <s v="Ara"/>
    <s v="D"/>
    <x v="2"/>
    <n v="22.884999999999998"/>
    <n v="114.42499999999998"/>
    <n v="2.0596499999999995"/>
    <n v="10.298249999999998"/>
    <x v="2"/>
    <x v="2"/>
    <x v="0"/>
  </r>
  <r>
    <s v="WWH-92259-198"/>
    <x v="300"/>
    <s v="35256-12529-FT"/>
    <s v="L-D-1"/>
    <x v="5"/>
    <n v="4"/>
    <x v="332"/>
    <s v="wromao9w@chronoengine.com"/>
    <x v="0"/>
    <s v="Sacramento"/>
    <s v="Lib"/>
    <s v="D"/>
    <x v="0"/>
    <n v="12.95"/>
    <n v="51.8"/>
    <n v="1.6835"/>
    <n v="6.734"/>
    <x v="3"/>
    <x v="2"/>
    <x v="0"/>
  </r>
  <r>
    <s v="FLR-82914-153"/>
    <x v="301"/>
    <s v="86100-33488-WP"/>
    <s v="A-M-2.5"/>
    <x v="37"/>
    <n v="6"/>
    <x v="333"/>
    <s v=""/>
    <x v="0"/>
    <s v="Round Rock"/>
    <s v="Ara"/>
    <s v="M"/>
    <x v="2"/>
    <n v="25.874999999999996"/>
    <n v="155.24999999999997"/>
    <n v="2.3287499999999994"/>
    <n v="13.972499999999997"/>
    <x v="2"/>
    <x v="0"/>
    <x v="1"/>
  </r>
  <r>
    <s v="AMB-93600-000"/>
    <x v="302"/>
    <s v="64435-53100-WM"/>
    <s v="A-L-2.5"/>
    <x v="44"/>
    <n v="1"/>
    <x v="334"/>
    <s v="tcotmore9y@amazonaws.com"/>
    <x v="0"/>
    <s v="Reston"/>
    <s v="Ara"/>
    <s v="L"/>
    <x v="2"/>
    <n v="29.784999999999997"/>
    <n v="29.784999999999997"/>
    <n v="2.6806499999999995"/>
    <n v="2.6806499999999995"/>
    <x v="2"/>
    <x v="1"/>
    <x v="1"/>
  </r>
  <r>
    <s v="FEP-36895-658"/>
    <x v="303"/>
    <s v="44699-43836-UH"/>
    <s v="R-L-0.2"/>
    <x v="40"/>
    <n v="6"/>
    <x v="335"/>
    <s v="yskipsey9z@spotify.com"/>
    <x v="2"/>
    <s v="Charlton"/>
    <s v="Rob"/>
    <s v="L"/>
    <x v="3"/>
    <n v="3.5849999999999995"/>
    <n v="21.509999999999998"/>
    <n v="0.21509999999999996"/>
    <n v="1.2905999999999997"/>
    <x v="0"/>
    <x v="1"/>
    <x v="1"/>
  </r>
  <r>
    <s v="RXW-91413-276"/>
    <x v="304"/>
    <s v="29588-35679-RG"/>
    <s v="R-D-2.5"/>
    <x v="11"/>
    <n v="2"/>
    <x v="336"/>
    <s v="ncorpsa0@gmpg.org"/>
    <x v="0"/>
    <s v="Columbia"/>
    <s v="Rob"/>
    <s v="D"/>
    <x v="2"/>
    <n v="20.584999999999997"/>
    <n v="41.169999999999995"/>
    <n v="1.2350999999999999"/>
    <n v="2.4701999999999997"/>
    <x v="0"/>
    <x v="2"/>
    <x v="1"/>
  </r>
  <r>
    <s v="RXW-91413-276"/>
    <x v="304"/>
    <s v="29588-35679-RG"/>
    <s v="R-M-0.5"/>
    <x v="8"/>
    <n v="1"/>
    <x v="336"/>
    <s v="ncorpsa0@gmpg.org"/>
    <x v="0"/>
    <s v="Columbia"/>
    <s v="Rob"/>
    <s v="M"/>
    <x v="1"/>
    <n v="5.97"/>
    <n v="5.97"/>
    <n v="0.35819999999999996"/>
    <n v="0.35819999999999996"/>
    <x v="0"/>
    <x v="0"/>
    <x v="1"/>
  </r>
  <r>
    <s v="SDB-77492-188"/>
    <x v="305"/>
    <s v="64815-54078-HH"/>
    <s v="E-L-1"/>
    <x v="33"/>
    <n v="5"/>
    <x v="337"/>
    <s v="fbabbera2@stanford.edu"/>
    <x v="0"/>
    <s v="Phoenix"/>
    <s v="Exc"/>
    <s v="L"/>
    <x v="0"/>
    <n v="14.85"/>
    <n v="74.25"/>
    <n v="1.6335"/>
    <n v="8.1675000000000004"/>
    <x v="1"/>
    <x v="1"/>
    <x v="0"/>
  </r>
  <r>
    <s v="RZN-65182-395"/>
    <x v="196"/>
    <s v="59572-41990-XY"/>
    <s v="L-M-1"/>
    <x v="24"/>
    <n v="6"/>
    <x v="338"/>
    <s v="kloxtona3@opensource.org"/>
    <x v="0"/>
    <s v="Miami"/>
    <s v="Lib"/>
    <s v="M"/>
    <x v="0"/>
    <n v="14.55"/>
    <n v="87.300000000000011"/>
    <n v="1.8915000000000002"/>
    <n v="11.349"/>
    <x v="3"/>
    <x v="0"/>
    <x v="1"/>
  </r>
  <r>
    <s v="HDQ-86094-507"/>
    <x v="110"/>
    <s v="32481-61533-ZJ"/>
    <s v="E-D-1"/>
    <x v="45"/>
    <n v="6"/>
    <x v="339"/>
    <s v="ptoffula4@posterous.com"/>
    <x v="0"/>
    <s v="Fresno"/>
    <s v="Exc"/>
    <s v="D"/>
    <x v="0"/>
    <n v="12.15"/>
    <n v="72.900000000000006"/>
    <n v="1.3365"/>
    <n v="8.0190000000000001"/>
    <x v="1"/>
    <x v="2"/>
    <x v="0"/>
  </r>
  <r>
    <s v="YXO-79631-417"/>
    <x v="24"/>
    <s v="31587-92570-HL"/>
    <s v="L-D-0.5"/>
    <x v="31"/>
    <n v="1"/>
    <x v="340"/>
    <s v="cgwinnetta5@behance.net"/>
    <x v="0"/>
    <s v="Anaheim"/>
    <s v="Lib"/>
    <s v="D"/>
    <x v="1"/>
    <n v="7.77"/>
    <n v="7.77"/>
    <n v="1.0101"/>
    <n v="1.0101"/>
    <x v="3"/>
    <x v="2"/>
    <x v="1"/>
  </r>
  <r>
    <s v="SNF-57032-096"/>
    <x v="306"/>
    <s v="93832-04799-ID"/>
    <s v="E-D-0.5"/>
    <x v="6"/>
    <n v="6"/>
    <x v="341"/>
    <s v=""/>
    <x v="0"/>
    <s v="Newport News"/>
    <s v="Exc"/>
    <s v="D"/>
    <x v="1"/>
    <n v="7.29"/>
    <n v="43.74"/>
    <n v="0.80190000000000006"/>
    <n v="4.8114000000000008"/>
    <x v="1"/>
    <x v="2"/>
    <x v="1"/>
  </r>
  <r>
    <s v="DGL-29648-995"/>
    <x v="307"/>
    <s v="59367-30821-ZQ"/>
    <s v="L-M-0.2"/>
    <x v="21"/>
    <n v="2"/>
    <x v="342"/>
    <s v=""/>
    <x v="0"/>
    <s v="Spartanburg"/>
    <s v="Lib"/>
    <s v="M"/>
    <x v="3"/>
    <n v="4.3650000000000002"/>
    <n v="8.73"/>
    <n v="0.56745000000000001"/>
    <n v="1.1349"/>
    <x v="3"/>
    <x v="0"/>
    <x v="0"/>
  </r>
  <r>
    <s v="GPU-65651-504"/>
    <x v="308"/>
    <s v="83947-45528-ET"/>
    <s v="E-M-2.5"/>
    <x v="28"/>
    <n v="2"/>
    <x v="343"/>
    <s v="lflaoniera8@wordpress.org"/>
    <x v="0"/>
    <s v="Staten Island"/>
    <s v="Exc"/>
    <s v="M"/>
    <x v="2"/>
    <n v="31.624999999999996"/>
    <n v="63.249999999999993"/>
    <n v="3.4787499999999998"/>
    <n v="6.9574999999999996"/>
    <x v="1"/>
    <x v="0"/>
    <x v="1"/>
  </r>
  <r>
    <s v="OJU-34452-896"/>
    <x v="309"/>
    <s v="60799-92593-CX"/>
    <s v="E-L-0.5"/>
    <x v="38"/>
    <n v="1"/>
    <x v="344"/>
    <s v=""/>
    <x v="0"/>
    <s v="Las Vegas"/>
    <s v="Exc"/>
    <s v="L"/>
    <x v="1"/>
    <n v="8.91"/>
    <n v="8.91"/>
    <n v="0.98009999999999997"/>
    <n v="0.98009999999999997"/>
    <x v="1"/>
    <x v="1"/>
    <x v="0"/>
  </r>
  <r>
    <s v="GZS-50547-887"/>
    <x v="310"/>
    <s v="61600-55136-UM"/>
    <s v="E-D-1"/>
    <x v="45"/>
    <n v="2"/>
    <x v="345"/>
    <s v="ccatchesideaa@macromedia.com"/>
    <x v="0"/>
    <s v="Salt Lake City"/>
    <s v="Exc"/>
    <s v="D"/>
    <x v="0"/>
    <n v="12.15"/>
    <n v="24.3"/>
    <n v="1.3365"/>
    <n v="2.673"/>
    <x v="1"/>
    <x v="2"/>
    <x v="0"/>
  </r>
  <r>
    <s v="ESR-54041-053"/>
    <x v="311"/>
    <s v="59771-90302-OF"/>
    <s v="A-L-0.5"/>
    <x v="42"/>
    <n v="6"/>
    <x v="346"/>
    <s v="cgibbonsonab@accuweather.com"/>
    <x v="0"/>
    <s v="Seattle"/>
    <s v="Ara"/>
    <s v="L"/>
    <x v="1"/>
    <n v="7.77"/>
    <n v="46.62"/>
    <n v="0.69929999999999992"/>
    <n v="4.1957999999999993"/>
    <x v="2"/>
    <x v="1"/>
    <x v="0"/>
  </r>
  <r>
    <s v="OGD-10781-526"/>
    <x v="132"/>
    <s v="16880-78077-FB"/>
    <s v="R-L-0.5"/>
    <x v="35"/>
    <n v="6"/>
    <x v="347"/>
    <s v="tfarraac@behance.net"/>
    <x v="0"/>
    <s v="Odessa"/>
    <s v="Rob"/>
    <s v="L"/>
    <x v="1"/>
    <n v="7.169999999999999"/>
    <n v="43.019999999999996"/>
    <n v="0.43019999999999992"/>
    <n v="2.5811999999999995"/>
    <x v="0"/>
    <x v="1"/>
    <x v="1"/>
  </r>
  <r>
    <s v="FVH-29271-315"/>
    <x v="312"/>
    <s v="74415-50873-FC"/>
    <s v="A-D-0.5"/>
    <x v="20"/>
    <n v="3"/>
    <x v="348"/>
    <s v=""/>
    <x v="1"/>
    <s v="Castleknock"/>
    <s v="Ara"/>
    <s v="D"/>
    <x v="1"/>
    <n v="5.97"/>
    <n v="17.91"/>
    <n v="0.5373"/>
    <n v="1.6118999999999999"/>
    <x v="2"/>
    <x v="2"/>
    <x v="0"/>
  </r>
  <r>
    <s v="BNZ-20544-633"/>
    <x v="313"/>
    <s v="31798-95707-NR"/>
    <s v="L-L-0.5"/>
    <x v="23"/>
    <n v="4"/>
    <x v="349"/>
    <s v="gbamfieldae@yellowpages.com"/>
    <x v="0"/>
    <s v="Irving"/>
    <s v="Lib"/>
    <s v="L"/>
    <x v="1"/>
    <n v="9.51"/>
    <n v="38.04"/>
    <n v="1.2363"/>
    <n v="4.9451999999999998"/>
    <x v="3"/>
    <x v="1"/>
    <x v="0"/>
  </r>
  <r>
    <s v="FUX-85791-078"/>
    <x v="156"/>
    <s v="59122-08794-WT"/>
    <s v="A-M-0.2"/>
    <x v="14"/>
    <n v="2"/>
    <x v="350"/>
    <s v="whollingdaleaf@about.me"/>
    <x v="0"/>
    <s v="Dayton"/>
    <s v="Ara"/>
    <s v="M"/>
    <x v="3"/>
    <n v="3.375"/>
    <n v="6.75"/>
    <n v="0.30374999999999996"/>
    <n v="0.60749999999999993"/>
    <x v="2"/>
    <x v="0"/>
    <x v="0"/>
  </r>
  <r>
    <s v="YXP-20078-116"/>
    <x v="314"/>
    <s v="37238-52421-JJ"/>
    <s v="R-M-0.5"/>
    <x v="8"/>
    <n v="1"/>
    <x v="351"/>
    <s v="jdeag@xrea.com"/>
    <x v="0"/>
    <s v="Grand Rapids"/>
    <s v="Rob"/>
    <s v="M"/>
    <x v="1"/>
    <n v="5.97"/>
    <n v="5.97"/>
    <n v="0.35819999999999996"/>
    <n v="0.35819999999999996"/>
    <x v="0"/>
    <x v="0"/>
    <x v="0"/>
  </r>
  <r>
    <s v="VQV-59984-866"/>
    <x v="315"/>
    <s v="48854-01899-FN"/>
    <s v="R-D-0.2"/>
    <x v="25"/>
    <n v="3"/>
    <x v="352"/>
    <s v="vskulletah@tinyurl.com"/>
    <x v="1"/>
    <s v="Balally"/>
    <s v="Rob"/>
    <s v="D"/>
    <x v="3"/>
    <n v="2.6849999999999996"/>
    <n v="8.0549999999999997"/>
    <n v="0.16109999999999997"/>
    <n v="0.4832999999999999"/>
    <x v="0"/>
    <x v="2"/>
    <x v="1"/>
  </r>
  <r>
    <s v="JEH-37276-048"/>
    <x v="316"/>
    <s v="80896-38819-DW"/>
    <s v="A-L-0.5"/>
    <x v="42"/>
    <n v="3"/>
    <x v="353"/>
    <s v="jrudeforthai@wunderground.com"/>
    <x v="1"/>
    <s v="Tullyallen"/>
    <s v="Ara"/>
    <s v="L"/>
    <x v="1"/>
    <n v="7.77"/>
    <n v="23.31"/>
    <n v="0.69929999999999992"/>
    <n v="2.0978999999999997"/>
    <x v="2"/>
    <x v="1"/>
    <x v="0"/>
  </r>
  <r>
    <s v="VYD-28555-589"/>
    <x v="317"/>
    <s v="29814-01459-RC"/>
    <s v="R-L-0.5"/>
    <x v="35"/>
    <n v="6"/>
    <x v="354"/>
    <s v="atomaszewskiaj@answers.com"/>
    <x v="2"/>
    <s v="Sutton"/>
    <s v="Rob"/>
    <s v="L"/>
    <x v="1"/>
    <n v="7.169999999999999"/>
    <n v="43.019999999999996"/>
    <n v="0.43019999999999992"/>
    <n v="2.5811999999999995"/>
    <x v="0"/>
    <x v="1"/>
    <x v="0"/>
  </r>
  <r>
    <s v="WUG-76466-650"/>
    <x v="318"/>
    <s v="43439-94003-DW"/>
    <s v="L-D-0.5"/>
    <x v="31"/>
    <n v="3"/>
    <x v="306"/>
    <s v=""/>
    <x v="0"/>
    <s v="Birmingham"/>
    <s v="Lib"/>
    <s v="D"/>
    <x v="1"/>
    <n v="7.77"/>
    <n v="23.31"/>
    <n v="1.0101"/>
    <n v="3.0303"/>
    <x v="3"/>
    <x v="2"/>
    <x v="1"/>
  </r>
  <r>
    <s v="RJV-08261-583"/>
    <x v="182"/>
    <s v="48497-29281-FE"/>
    <s v="A-D-0.2"/>
    <x v="16"/>
    <n v="5"/>
    <x v="355"/>
    <s v="pbessal@qq.com"/>
    <x v="0"/>
    <s v="Los Angeles"/>
    <s v="Ara"/>
    <s v="D"/>
    <x v="3"/>
    <n v="2.9849999999999999"/>
    <n v="14.924999999999999"/>
    <n v="0.26865"/>
    <n v="1.3432500000000001"/>
    <x v="2"/>
    <x v="2"/>
    <x v="0"/>
  </r>
  <r>
    <s v="PMR-56062-609"/>
    <x v="319"/>
    <s v="43605-12616-YH"/>
    <s v="E-D-0.5"/>
    <x v="6"/>
    <n v="3"/>
    <x v="356"/>
    <s v="ewindressam@marketwatch.com"/>
    <x v="0"/>
    <s v="Baltimore"/>
    <s v="Exc"/>
    <s v="D"/>
    <x v="1"/>
    <n v="7.29"/>
    <n v="21.87"/>
    <n v="0.80190000000000006"/>
    <n v="2.4057000000000004"/>
    <x v="1"/>
    <x v="2"/>
    <x v="1"/>
  </r>
  <r>
    <s v="XLD-12920-505"/>
    <x v="320"/>
    <s v="21907-75962-VB"/>
    <s v="E-L-0.5"/>
    <x v="38"/>
    <n v="6"/>
    <x v="357"/>
    <s v=""/>
    <x v="0"/>
    <s v="Harrisburg"/>
    <s v="Exc"/>
    <s v="L"/>
    <x v="1"/>
    <n v="8.91"/>
    <n v="53.46"/>
    <n v="0.98009999999999997"/>
    <n v="5.8805999999999994"/>
    <x v="1"/>
    <x v="1"/>
    <x v="0"/>
  </r>
  <r>
    <s v="UBW-50312-037"/>
    <x v="321"/>
    <s v="69503-12127-YD"/>
    <s v="A-L-2.5"/>
    <x v="44"/>
    <n v="4"/>
    <x v="358"/>
    <s v=""/>
    <x v="0"/>
    <s v="Dallas"/>
    <s v="Ara"/>
    <s v="L"/>
    <x v="2"/>
    <n v="29.784999999999997"/>
    <n v="119.13999999999999"/>
    <n v="2.6806499999999995"/>
    <n v="10.722599999999998"/>
    <x v="2"/>
    <x v="1"/>
    <x v="1"/>
  </r>
  <r>
    <s v="QAW-05889-019"/>
    <x v="322"/>
    <s v="68810-07329-EU"/>
    <s v="L-M-0.5"/>
    <x v="22"/>
    <n v="5"/>
    <x v="359"/>
    <s v="vbaumadierap@google.cn"/>
    <x v="0"/>
    <s v="Kansas City"/>
    <s v="Lib"/>
    <s v="M"/>
    <x v="1"/>
    <n v="8.73"/>
    <n v="43.650000000000006"/>
    <n v="1.1349"/>
    <n v="5.6745000000000001"/>
    <x v="3"/>
    <x v="0"/>
    <x v="0"/>
  </r>
  <r>
    <s v="EPT-12715-397"/>
    <x v="128"/>
    <s v="08478-75251-OG"/>
    <s v="A-D-0.2"/>
    <x v="16"/>
    <n v="6"/>
    <x v="360"/>
    <s v=""/>
    <x v="0"/>
    <s v="Springfield"/>
    <s v="Ara"/>
    <s v="D"/>
    <x v="3"/>
    <n v="2.9849999999999999"/>
    <n v="17.91"/>
    <n v="0.26865"/>
    <n v="1.6118999999999999"/>
    <x v="2"/>
    <x v="2"/>
    <x v="0"/>
  </r>
  <r>
    <s v="DHT-93810-053"/>
    <x v="323"/>
    <s v="17005-82030-EA"/>
    <s v="E-L-1"/>
    <x v="33"/>
    <n v="5"/>
    <x v="361"/>
    <s v="sweldsar@wired.com"/>
    <x v="0"/>
    <s v="New Haven"/>
    <s v="Exc"/>
    <s v="L"/>
    <x v="0"/>
    <n v="14.85"/>
    <n v="74.25"/>
    <n v="1.6335"/>
    <n v="8.1675000000000004"/>
    <x v="1"/>
    <x v="1"/>
    <x v="0"/>
  </r>
  <r>
    <s v="DMY-96037-963"/>
    <x v="324"/>
    <s v="42179-95059-DO"/>
    <s v="L-D-0.2"/>
    <x v="12"/>
    <n v="3"/>
    <x v="362"/>
    <s v="msarvaras@artisteer.com"/>
    <x v="0"/>
    <s v="Lawrenceville"/>
    <s v="Lib"/>
    <s v="D"/>
    <x v="3"/>
    <n v="3.8849999999999998"/>
    <n v="11.654999999999999"/>
    <n v="0.50505"/>
    <n v="1.51515"/>
    <x v="3"/>
    <x v="2"/>
    <x v="0"/>
  </r>
  <r>
    <s v="MBM-55936-917"/>
    <x v="325"/>
    <s v="55989-39849-WO"/>
    <s v="L-D-0.5"/>
    <x v="31"/>
    <n v="3"/>
    <x v="363"/>
    <s v="ahavickat@nsw.gov.au"/>
    <x v="0"/>
    <s v="Asheville"/>
    <s v="Lib"/>
    <s v="D"/>
    <x v="1"/>
    <n v="7.77"/>
    <n v="23.31"/>
    <n v="1.0101"/>
    <n v="3.0303"/>
    <x v="3"/>
    <x v="2"/>
    <x v="0"/>
  </r>
  <r>
    <s v="TPA-93614-840"/>
    <x v="326"/>
    <s v="28932-49296-TM"/>
    <s v="E-D-0.5"/>
    <x v="6"/>
    <n v="2"/>
    <x v="364"/>
    <s v="sdivinyau@ask.com"/>
    <x v="0"/>
    <s v="Saint Paul"/>
    <s v="Exc"/>
    <s v="D"/>
    <x v="1"/>
    <n v="7.29"/>
    <n v="14.58"/>
    <n v="0.80190000000000006"/>
    <n v="1.6038000000000001"/>
    <x v="1"/>
    <x v="2"/>
    <x v="0"/>
  </r>
  <r>
    <s v="WDM-77521-710"/>
    <x v="327"/>
    <s v="86144-10144-CB"/>
    <s v="A-M-0.5"/>
    <x v="19"/>
    <n v="2"/>
    <x v="365"/>
    <s v="inorquoyav@businessweek.com"/>
    <x v="0"/>
    <s v="Minneapolis"/>
    <s v="Ara"/>
    <s v="M"/>
    <x v="1"/>
    <n v="6.75"/>
    <n v="13.5"/>
    <n v="0.60749999999999993"/>
    <n v="1.2149999999999999"/>
    <x v="2"/>
    <x v="0"/>
    <x v="1"/>
  </r>
  <r>
    <s v="EIP-19142-462"/>
    <x v="328"/>
    <s v="60973-72562-DQ"/>
    <s v="E-L-1"/>
    <x v="33"/>
    <n v="6"/>
    <x v="366"/>
    <s v="aiddisonaw@usa.gov"/>
    <x v="0"/>
    <s v="Santa Ana"/>
    <s v="Exc"/>
    <s v="L"/>
    <x v="0"/>
    <n v="14.85"/>
    <n v="89.1"/>
    <n v="1.6335"/>
    <n v="9.8010000000000002"/>
    <x v="1"/>
    <x v="1"/>
    <x v="1"/>
  </r>
  <r>
    <s v="EIP-19142-462"/>
    <x v="328"/>
    <s v="60973-72562-DQ"/>
    <s v="A-L-0.2"/>
    <x v="29"/>
    <n v="1"/>
    <x v="366"/>
    <s v="aiddisonaw@usa.gov"/>
    <x v="0"/>
    <s v="Santa Ana"/>
    <s v="Ara"/>
    <s v="L"/>
    <x v="3"/>
    <n v="3.8849999999999998"/>
    <n v="3.8849999999999998"/>
    <n v="0.34964999999999996"/>
    <n v="0.34964999999999996"/>
    <x v="2"/>
    <x v="1"/>
    <x v="1"/>
  </r>
  <r>
    <s v="ZZL-76364-387"/>
    <x v="128"/>
    <s v="11263-86515-VU"/>
    <s v="R-L-2.5"/>
    <x v="4"/>
    <n v="4"/>
    <x v="367"/>
    <s v="rlongfielday@bluehost.com"/>
    <x v="0"/>
    <s v="Minneapolis"/>
    <s v="Rob"/>
    <s v="L"/>
    <x v="2"/>
    <n v="27.484999999999996"/>
    <n v="109.93999999999998"/>
    <n v="1.6490999999999998"/>
    <n v="6.5963999999999992"/>
    <x v="0"/>
    <x v="1"/>
    <x v="1"/>
  </r>
  <r>
    <s v="GMF-18638-786"/>
    <x v="329"/>
    <s v="60004-62976-NI"/>
    <s v="L-D-0.5"/>
    <x v="31"/>
    <n v="6"/>
    <x v="368"/>
    <s v="gkislingburyaz@samsung.com"/>
    <x v="0"/>
    <s v="Washington"/>
    <s v="Lib"/>
    <s v="D"/>
    <x v="1"/>
    <n v="7.77"/>
    <n v="46.62"/>
    <n v="1.0101"/>
    <n v="6.0606"/>
    <x v="3"/>
    <x v="2"/>
    <x v="0"/>
  </r>
  <r>
    <s v="TDJ-20844-787"/>
    <x v="330"/>
    <s v="77876-28498-HI"/>
    <s v="A-L-0.5"/>
    <x v="42"/>
    <n v="5"/>
    <x v="369"/>
    <s v="xgibbonsb0@artisteer.com"/>
    <x v="0"/>
    <s v="San Bernardino"/>
    <s v="Ara"/>
    <s v="L"/>
    <x v="1"/>
    <n v="7.77"/>
    <n v="38.849999999999994"/>
    <n v="0.69929999999999992"/>
    <n v="3.4964999999999997"/>
    <x v="2"/>
    <x v="1"/>
    <x v="1"/>
  </r>
  <r>
    <s v="BWK-39400-446"/>
    <x v="331"/>
    <s v="61302-06948-EH"/>
    <s v="L-D-0.5"/>
    <x v="31"/>
    <n v="4"/>
    <x v="370"/>
    <s v="fparresb1@imageshack.us"/>
    <x v="0"/>
    <s v="Rochester"/>
    <s v="Lib"/>
    <s v="D"/>
    <x v="1"/>
    <n v="7.77"/>
    <n v="31.08"/>
    <n v="1.0101"/>
    <n v="4.0404"/>
    <x v="3"/>
    <x v="2"/>
    <x v="0"/>
  </r>
  <r>
    <s v="LCB-02099-995"/>
    <x v="332"/>
    <s v="06757-96251-UH"/>
    <s v="A-D-0.2"/>
    <x v="16"/>
    <n v="6"/>
    <x v="371"/>
    <s v="gsibrayb2@wsj.com"/>
    <x v="0"/>
    <s v="Vancouver"/>
    <s v="Ara"/>
    <s v="D"/>
    <x v="3"/>
    <n v="2.9849999999999999"/>
    <n v="17.91"/>
    <n v="0.26865"/>
    <n v="1.6118999999999999"/>
    <x v="2"/>
    <x v="2"/>
    <x v="0"/>
  </r>
  <r>
    <s v="UBA-43678-174"/>
    <x v="333"/>
    <s v="44530-75983-OD"/>
    <s v="E-D-2.5"/>
    <x v="47"/>
    <n v="6"/>
    <x v="372"/>
    <s v="ihotchkinb3@mit.edu"/>
    <x v="2"/>
    <s v="Preston"/>
    <s v="Exc"/>
    <s v="D"/>
    <x v="2"/>
    <n v="27.945"/>
    <n v="167.67000000000002"/>
    <n v="3.07395"/>
    <n v="18.4437"/>
    <x v="1"/>
    <x v="2"/>
    <x v="1"/>
  </r>
  <r>
    <s v="UDH-24280-432"/>
    <x v="334"/>
    <s v="44865-58249-RY"/>
    <s v="L-L-1"/>
    <x v="32"/>
    <n v="4"/>
    <x v="373"/>
    <s v="nbroadberrieb4@gnu.org"/>
    <x v="0"/>
    <s v="Washington"/>
    <s v="Lib"/>
    <s v="L"/>
    <x v="0"/>
    <n v="15.85"/>
    <n v="63.4"/>
    <n v="2.0605000000000002"/>
    <n v="8.2420000000000009"/>
    <x v="3"/>
    <x v="1"/>
    <x v="1"/>
  </r>
  <r>
    <s v="IDQ-20193-502"/>
    <x v="335"/>
    <s v="36021-61205-DF"/>
    <s v="L-M-0.2"/>
    <x v="21"/>
    <n v="2"/>
    <x v="374"/>
    <s v="rpithcockb5@yellowbook.com"/>
    <x v="0"/>
    <s v="Knoxville"/>
    <s v="Lib"/>
    <s v="M"/>
    <x v="3"/>
    <n v="4.3650000000000002"/>
    <n v="8.73"/>
    <n v="0.56745000000000001"/>
    <n v="1.1349"/>
    <x v="3"/>
    <x v="0"/>
    <x v="0"/>
  </r>
  <r>
    <s v="DJG-14442-608"/>
    <x v="336"/>
    <s v="75716-12782-SS"/>
    <s v="R-D-1"/>
    <x v="39"/>
    <n v="3"/>
    <x v="375"/>
    <s v="gcroysdaleb6@nih.gov"/>
    <x v="0"/>
    <s v="Charleston"/>
    <s v="Rob"/>
    <s v="D"/>
    <x v="0"/>
    <n v="8.9499999999999993"/>
    <n v="26.849999999999998"/>
    <n v="0.53699999999999992"/>
    <n v="1.6109999999999998"/>
    <x v="0"/>
    <x v="2"/>
    <x v="0"/>
  </r>
  <r>
    <s v="DWB-61381-370"/>
    <x v="337"/>
    <s v="11812-00461-KH"/>
    <s v="L-L-0.2"/>
    <x v="7"/>
    <n v="2"/>
    <x v="376"/>
    <s v="bgozzettb7@github.com"/>
    <x v="0"/>
    <s v="Dallas"/>
    <s v="Lib"/>
    <s v="L"/>
    <x v="3"/>
    <n v="4.7549999999999999"/>
    <n v="9.51"/>
    <n v="0.61814999999999998"/>
    <n v="1.2363"/>
    <x v="3"/>
    <x v="1"/>
    <x v="1"/>
  </r>
  <r>
    <s v="FRD-17347-990"/>
    <x v="80"/>
    <s v="46681-78850-ZW"/>
    <s v="A-D-1"/>
    <x v="9"/>
    <n v="4"/>
    <x v="377"/>
    <s v="tcraggsb8@house.gov"/>
    <x v="1"/>
    <s v="Whitegate"/>
    <s v="Ara"/>
    <s v="D"/>
    <x v="0"/>
    <n v="9.9499999999999993"/>
    <n v="39.799999999999997"/>
    <n v="0.89549999999999985"/>
    <n v="3.5819999999999994"/>
    <x v="2"/>
    <x v="2"/>
    <x v="1"/>
  </r>
  <r>
    <s v="YPP-27450-525"/>
    <x v="338"/>
    <s v="01932-87052-KO"/>
    <s v="E-M-0.5"/>
    <x v="1"/>
    <n v="3"/>
    <x v="378"/>
    <s v="lcullrfordb9@xing.com"/>
    <x v="0"/>
    <s v="Chico"/>
    <s v="Exc"/>
    <s v="M"/>
    <x v="1"/>
    <n v="8.25"/>
    <n v="24.75"/>
    <n v="0.90749999999999997"/>
    <n v="2.7225000000000001"/>
    <x v="1"/>
    <x v="0"/>
    <x v="0"/>
  </r>
  <r>
    <s v="EFC-39577-424"/>
    <x v="339"/>
    <s v="16046-34805-ZF"/>
    <s v="E-M-1"/>
    <x v="3"/>
    <n v="5"/>
    <x v="379"/>
    <s v="arizonba@xing.com"/>
    <x v="0"/>
    <s v="Little Rock"/>
    <s v="Exc"/>
    <s v="M"/>
    <x v="0"/>
    <n v="13.75"/>
    <n v="68.75"/>
    <n v="1.5125"/>
    <n v="7.5625"/>
    <x v="1"/>
    <x v="0"/>
    <x v="0"/>
  </r>
  <r>
    <s v="LAW-80062-016"/>
    <x v="340"/>
    <s v="34546-70516-LR"/>
    <s v="E-M-0.5"/>
    <x v="1"/>
    <n v="6"/>
    <x v="380"/>
    <s v=""/>
    <x v="1"/>
    <s v="Balrothery"/>
    <s v="Exc"/>
    <s v="M"/>
    <x v="1"/>
    <n v="8.25"/>
    <n v="49.5"/>
    <n v="0.90749999999999997"/>
    <n v="5.4450000000000003"/>
    <x v="1"/>
    <x v="0"/>
    <x v="1"/>
  </r>
  <r>
    <s v="WKL-27981-758"/>
    <x v="177"/>
    <s v="73699-93557-FZ"/>
    <s v="A-M-2.5"/>
    <x v="37"/>
    <n v="2"/>
    <x v="381"/>
    <s v="fmiellbc@spiegel.de"/>
    <x v="0"/>
    <s v="New Brunswick"/>
    <s v="Ara"/>
    <s v="M"/>
    <x v="2"/>
    <n v="25.874999999999996"/>
    <n v="51.749999999999993"/>
    <n v="2.3287499999999994"/>
    <n v="4.6574999999999989"/>
    <x v="2"/>
    <x v="0"/>
    <x v="0"/>
  </r>
  <r>
    <s v="VRT-39834-265"/>
    <x v="341"/>
    <s v="86686-37462-CK"/>
    <s v="L-L-1"/>
    <x v="32"/>
    <n v="3"/>
    <x v="382"/>
    <s v=""/>
    <x v="1"/>
    <s v="Valleymount"/>
    <s v="Lib"/>
    <s v="L"/>
    <x v="0"/>
    <n v="15.85"/>
    <n v="47.55"/>
    <n v="2.0605000000000002"/>
    <n v="6.1815000000000007"/>
    <x v="3"/>
    <x v="1"/>
    <x v="0"/>
  </r>
  <r>
    <s v="QTC-71005-730"/>
    <x v="342"/>
    <s v="14298-02150-KH"/>
    <s v="A-L-0.2"/>
    <x v="29"/>
    <n v="4"/>
    <x v="383"/>
    <s v=""/>
    <x v="0"/>
    <s v="San Francisco"/>
    <s v="Ara"/>
    <s v="L"/>
    <x v="3"/>
    <n v="3.8849999999999998"/>
    <n v="15.54"/>
    <n v="0.34964999999999996"/>
    <n v="1.3985999999999998"/>
    <x v="2"/>
    <x v="1"/>
    <x v="1"/>
  </r>
  <r>
    <s v="TNX-09857-717"/>
    <x v="343"/>
    <s v="48675-07824-HJ"/>
    <s v="L-M-1"/>
    <x v="24"/>
    <n v="6"/>
    <x v="384"/>
    <s v=""/>
    <x v="0"/>
    <s v="Lafayette"/>
    <s v="Lib"/>
    <s v="M"/>
    <x v="0"/>
    <n v="14.55"/>
    <n v="87.300000000000011"/>
    <n v="1.8915000000000002"/>
    <n v="11.349"/>
    <x v="3"/>
    <x v="0"/>
    <x v="0"/>
  </r>
  <r>
    <s v="JZV-43874-185"/>
    <x v="344"/>
    <s v="18551-80943-YQ"/>
    <s v="A-M-1"/>
    <x v="17"/>
    <n v="5"/>
    <x v="385"/>
    <s v=""/>
    <x v="0"/>
    <s v="San Diego"/>
    <s v="Ara"/>
    <s v="M"/>
    <x v="0"/>
    <n v="11.25"/>
    <n v="56.25"/>
    <n v="1.0125"/>
    <n v="5.0625"/>
    <x v="2"/>
    <x v="0"/>
    <x v="0"/>
  </r>
  <r>
    <s v="ICF-17486-106"/>
    <x v="47"/>
    <s v="19196-09748-DB"/>
    <s v="L-L-2.5"/>
    <x v="26"/>
    <n v="1"/>
    <x v="386"/>
    <s v="wspringallbh@jugem.jp"/>
    <x v="0"/>
    <s v="Alhambra"/>
    <s v="Lib"/>
    <s v="L"/>
    <x v="2"/>
    <n v="36.454999999999998"/>
    <n v="36.454999999999998"/>
    <n v="4.7391499999999995"/>
    <n v="4.7391499999999995"/>
    <x v="3"/>
    <x v="1"/>
    <x v="0"/>
  </r>
  <r>
    <s v="BMK-49520-383"/>
    <x v="345"/>
    <s v="72233-08665-IP"/>
    <s v="R-L-0.2"/>
    <x v="40"/>
    <n v="3"/>
    <x v="387"/>
    <s v=""/>
    <x v="0"/>
    <s v="Tyler"/>
    <s v="Rob"/>
    <s v="L"/>
    <x v="3"/>
    <n v="3.5849999999999995"/>
    <n v="10.754999999999999"/>
    <n v="0.21509999999999996"/>
    <n v="0.64529999999999987"/>
    <x v="0"/>
    <x v="1"/>
    <x v="0"/>
  </r>
  <r>
    <s v="HTS-15020-632"/>
    <x v="169"/>
    <s v="53817-13148-RK"/>
    <s v="R-M-0.2"/>
    <x v="36"/>
    <n v="3"/>
    <x v="388"/>
    <s v="ghawkyensbj@census.gov"/>
    <x v="0"/>
    <s v="Lafayette"/>
    <s v="Rob"/>
    <s v="M"/>
    <x v="3"/>
    <n v="2.9849999999999999"/>
    <n v="8.9550000000000001"/>
    <n v="0.17909999999999998"/>
    <n v="0.53729999999999989"/>
    <x v="0"/>
    <x v="0"/>
    <x v="1"/>
  </r>
  <r>
    <s v="YLE-18247-749"/>
    <x v="346"/>
    <s v="92227-49331-QR"/>
    <s v="A-L-0.5"/>
    <x v="42"/>
    <n v="3"/>
    <x v="389"/>
    <s v=""/>
    <x v="0"/>
    <s v="Dayton"/>
    <s v="Ara"/>
    <s v="L"/>
    <x v="1"/>
    <n v="7.77"/>
    <n v="23.31"/>
    <n v="0.69929999999999992"/>
    <n v="2.0978999999999997"/>
    <x v="2"/>
    <x v="1"/>
    <x v="0"/>
  </r>
  <r>
    <s v="KJJ-12573-591"/>
    <x v="347"/>
    <s v="12997-41076-FQ"/>
    <s v="A-L-2.5"/>
    <x v="44"/>
    <n v="1"/>
    <x v="390"/>
    <s v=""/>
    <x v="0"/>
    <s v="Phoenix"/>
    <s v="Ara"/>
    <s v="L"/>
    <x v="2"/>
    <n v="29.784999999999997"/>
    <n v="29.784999999999997"/>
    <n v="2.6806499999999995"/>
    <n v="2.6806499999999995"/>
    <x v="2"/>
    <x v="1"/>
    <x v="0"/>
  </r>
  <r>
    <s v="RGU-43561-950"/>
    <x v="348"/>
    <s v="44220-00348-MB"/>
    <s v="A-L-2.5"/>
    <x v="44"/>
    <n v="5"/>
    <x v="391"/>
    <s v="bmcgilvrabm@so-net.ne.jp"/>
    <x v="0"/>
    <s v="Sacramento"/>
    <s v="Ara"/>
    <s v="L"/>
    <x v="2"/>
    <n v="29.784999999999997"/>
    <n v="148.92499999999998"/>
    <n v="2.6806499999999995"/>
    <n v="13.403249999999998"/>
    <x v="2"/>
    <x v="1"/>
    <x v="0"/>
  </r>
  <r>
    <s v="JSN-73975-443"/>
    <x v="349"/>
    <s v="93047-98331-DD"/>
    <s v="L-M-0.5"/>
    <x v="22"/>
    <n v="1"/>
    <x v="392"/>
    <s v="adanzeybn@github.com"/>
    <x v="0"/>
    <s v="Lincoln"/>
    <s v="Lib"/>
    <s v="M"/>
    <x v="1"/>
    <n v="8.73"/>
    <n v="8.73"/>
    <n v="1.1349"/>
    <n v="1.1349"/>
    <x v="3"/>
    <x v="0"/>
    <x v="0"/>
  </r>
  <r>
    <s v="WNR-71736-993"/>
    <x v="350"/>
    <s v="16880-78077-FB"/>
    <s v="L-D-0.5"/>
    <x v="31"/>
    <n v="4"/>
    <x v="347"/>
    <s v="tfarraac@behance.net"/>
    <x v="0"/>
    <s v="Odessa"/>
    <s v="Lib"/>
    <s v="D"/>
    <x v="1"/>
    <n v="7.77"/>
    <n v="31.08"/>
    <n v="1.0101"/>
    <n v="4.0404"/>
    <x v="3"/>
    <x v="2"/>
    <x v="1"/>
  </r>
  <r>
    <s v="WNR-71736-993"/>
    <x v="350"/>
    <s v="16880-78077-FB"/>
    <s v="A-D-2.5"/>
    <x v="30"/>
    <n v="6"/>
    <x v="347"/>
    <s v="tfarraac@behance.net"/>
    <x v="0"/>
    <s v="Odessa"/>
    <s v="Ara"/>
    <s v="D"/>
    <x v="2"/>
    <n v="22.884999999999998"/>
    <n v="137.31"/>
    <n v="2.0596499999999995"/>
    <n v="12.357899999999997"/>
    <x v="2"/>
    <x v="2"/>
    <x v="1"/>
  </r>
  <r>
    <s v="HNI-91338-546"/>
    <x v="54"/>
    <s v="67285-75317-XI"/>
    <s v="A-D-0.5"/>
    <x v="20"/>
    <n v="5"/>
    <x v="393"/>
    <s v=""/>
    <x v="0"/>
    <s v="Madison"/>
    <s v="Ara"/>
    <s v="D"/>
    <x v="1"/>
    <n v="5.97"/>
    <n v="29.849999999999998"/>
    <n v="0.5373"/>
    <n v="2.6865000000000001"/>
    <x v="2"/>
    <x v="2"/>
    <x v="1"/>
  </r>
  <r>
    <s v="CYH-53243-218"/>
    <x v="237"/>
    <s v="88167-57964-PH"/>
    <s v="R-M-0.5"/>
    <x v="8"/>
    <n v="3"/>
    <x v="394"/>
    <s v=""/>
    <x v="0"/>
    <s v="Charleston"/>
    <s v="Rob"/>
    <s v="M"/>
    <x v="1"/>
    <n v="5.97"/>
    <n v="17.91"/>
    <n v="0.35819999999999996"/>
    <n v="1.0745999999999998"/>
    <x v="0"/>
    <x v="0"/>
    <x v="1"/>
  </r>
  <r>
    <s v="SVD-75407-177"/>
    <x v="351"/>
    <s v="16106-36039-QS"/>
    <s v="E-L-0.5"/>
    <x v="38"/>
    <n v="3"/>
    <x v="395"/>
    <s v="ydombrellbs@dedecms.com"/>
    <x v="0"/>
    <s v="Little Rock"/>
    <s v="Exc"/>
    <s v="L"/>
    <x v="1"/>
    <n v="8.91"/>
    <n v="26.73"/>
    <n v="0.98009999999999997"/>
    <n v="2.9402999999999997"/>
    <x v="1"/>
    <x v="1"/>
    <x v="0"/>
  </r>
  <r>
    <s v="NVN-66443-451"/>
    <x v="352"/>
    <s v="98921-82417-GN"/>
    <s v="R-D-1"/>
    <x v="39"/>
    <n v="2"/>
    <x v="396"/>
    <s v="adarthbt@t.co"/>
    <x v="0"/>
    <s v="Anchorage"/>
    <s v="Rob"/>
    <s v="D"/>
    <x v="0"/>
    <n v="8.9499999999999993"/>
    <n v="17.899999999999999"/>
    <n v="0.53699999999999992"/>
    <n v="1.0739999999999998"/>
    <x v="0"/>
    <x v="2"/>
    <x v="1"/>
  </r>
  <r>
    <s v="JUA-13580-095"/>
    <x v="102"/>
    <s v="55265-75151-AK"/>
    <s v="R-L-0.2"/>
    <x v="40"/>
    <n v="4"/>
    <x v="397"/>
    <s v="mdarrigoebu@hud.gov"/>
    <x v="1"/>
    <s v="Longwood"/>
    <s v="Rob"/>
    <s v="L"/>
    <x v="3"/>
    <n v="3.5849999999999995"/>
    <n v="14.339999999999998"/>
    <n v="0.21509999999999996"/>
    <n v="0.86039999999999983"/>
    <x v="0"/>
    <x v="1"/>
    <x v="0"/>
  </r>
  <r>
    <s v="ACY-56225-839"/>
    <x v="353"/>
    <s v="47386-50743-FG"/>
    <s v="A-M-2.5"/>
    <x v="37"/>
    <n v="3"/>
    <x v="398"/>
    <s v=""/>
    <x v="0"/>
    <s v="San Francisco"/>
    <s v="Ara"/>
    <s v="M"/>
    <x v="2"/>
    <n v="25.874999999999996"/>
    <n v="77.624999999999986"/>
    <n v="2.3287499999999994"/>
    <n v="6.9862499999999983"/>
    <x v="2"/>
    <x v="0"/>
    <x v="0"/>
  </r>
  <r>
    <s v="QBB-07903-622"/>
    <x v="354"/>
    <s v="32622-54551-UC"/>
    <s v="R-L-1"/>
    <x v="41"/>
    <n v="5"/>
    <x v="399"/>
    <s v="mackrillbw@bandcamp.com"/>
    <x v="0"/>
    <s v="Warren"/>
    <s v="Rob"/>
    <s v="L"/>
    <x v="0"/>
    <n v="11.95"/>
    <n v="59.75"/>
    <n v="0.71699999999999997"/>
    <n v="3.585"/>
    <x v="0"/>
    <x v="1"/>
    <x v="1"/>
  </r>
  <r>
    <s v="JLJ-81802-619"/>
    <x v="135"/>
    <s v="16880-78077-FB"/>
    <s v="A-L-1"/>
    <x v="2"/>
    <n v="6"/>
    <x v="347"/>
    <s v="tfarraac@behance.net"/>
    <x v="0"/>
    <s v="Odessa"/>
    <s v="Ara"/>
    <s v="L"/>
    <x v="0"/>
    <n v="12.95"/>
    <n v="77.699999999999989"/>
    <n v="1.1655"/>
    <n v="6.9930000000000003"/>
    <x v="2"/>
    <x v="1"/>
    <x v="1"/>
  </r>
  <r>
    <s v="HFT-77191-168"/>
    <x v="343"/>
    <s v="48419-02347-XP"/>
    <s v="R-D-0.2"/>
    <x v="25"/>
    <n v="2"/>
    <x v="400"/>
    <s v="mkippenby@dion.ne.jp"/>
    <x v="0"/>
    <s v="Jackson"/>
    <s v="Rob"/>
    <s v="D"/>
    <x v="3"/>
    <n v="2.6849999999999996"/>
    <n v="5.3699999999999992"/>
    <n v="0.16109999999999997"/>
    <n v="0.32219999999999993"/>
    <x v="0"/>
    <x v="2"/>
    <x v="0"/>
  </r>
  <r>
    <s v="SZR-35951-530"/>
    <x v="89"/>
    <s v="14121-20527-OJ"/>
    <s v="E-D-2.5"/>
    <x v="47"/>
    <n v="3"/>
    <x v="401"/>
    <s v="wransonbz@ted.com"/>
    <x v="1"/>
    <s v="Kildare"/>
    <s v="Exc"/>
    <s v="D"/>
    <x v="2"/>
    <n v="27.945"/>
    <n v="83.835000000000008"/>
    <n v="3.07395"/>
    <n v="9.2218499999999999"/>
    <x v="1"/>
    <x v="2"/>
    <x v="0"/>
  </r>
  <r>
    <s v="IKL-95976-565"/>
    <x v="355"/>
    <s v="53486-73919-BQ"/>
    <s v="A-M-1"/>
    <x v="17"/>
    <n v="2"/>
    <x v="402"/>
    <s v=""/>
    <x v="0"/>
    <s v="Milwaukee"/>
    <s v="Ara"/>
    <s v="M"/>
    <x v="0"/>
    <n v="11.25"/>
    <n v="22.5"/>
    <n v="1.0125"/>
    <n v="2.0249999999999999"/>
    <x v="2"/>
    <x v="0"/>
    <x v="1"/>
  </r>
  <r>
    <s v="XEY-48929-474"/>
    <x v="204"/>
    <s v="21889-94615-WT"/>
    <s v="L-M-2.5"/>
    <x v="43"/>
    <n v="6"/>
    <x v="403"/>
    <s v="lrignoldc1@miibeian.gov.cn"/>
    <x v="0"/>
    <s v="Sacramento"/>
    <s v="Lib"/>
    <s v="M"/>
    <x v="2"/>
    <n v="33.464999999999996"/>
    <n v="200.78999999999996"/>
    <n v="4.3504499999999995"/>
    <n v="26.102699999999999"/>
    <x v="3"/>
    <x v="0"/>
    <x v="0"/>
  </r>
  <r>
    <s v="SQT-07286-736"/>
    <x v="356"/>
    <s v="87726-16941-QW"/>
    <s v="A-M-1"/>
    <x v="17"/>
    <n v="6"/>
    <x v="404"/>
    <s v=""/>
    <x v="0"/>
    <s v="Boston"/>
    <s v="Ara"/>
    <s v="M"/>
    <x v="0"/>
    <n v="11.25"/>
    <n v="67.5"/>
    <n v="1.0125"/>
    <n v="6.0749999999999993"/>
    <x v="2"/>
    <x v="0"/>
    <x v="1"/>
  </r>
  <r>
    <s v="QDU-45390-361"/>
    <x v="357"/>
    <s v="03677-09134-BC"/>
    <s v="E-M-0.5"/>
    <x v="1"/>
    <n v="1"/>
    <x v="405"/>
    <s v="crowthornc3@msn.com"/>
    <x v="0"/>
    <s v="Topeka"/>
    <s v="Exc"/>
    <s v="M"/>
    <x v="1"/>
    <n v="8.25"/>
    <n v="8.25"/>
    <n v="0.90749999999999997"/>
    <n v="0.90749999999999997"/>
    <x v="1"/>
    <x v="0"/>
    <x v="1"/>
  </r>
  <r>
    <s v="RUJ-30649-712"/>
    <x v="300"/>
    <s v="93224-71517-WV"/>
    <s v="L-L-0.2"/>
    <x v="7"/>
    <n v="2"/>
    <x v="406"/>
    <s v="orylandc4@deviantart.com"/>
    <x v="0"/>
    <s v="Fargo"/>
    <s v="Lib"/>
    <s v="L"/>
    <x v="3"/>
    <n v="4.7549999999999999"/>
    <n v="9.51"/>
    <n v="0.61814999999999998"/>
    <n v="1.2363"/>
    <x v="3"/>
    <x v="1"/>
    <x v="0"/>
  </r>
  <r>
    <s v="WSV-49732-075"/>
    <x v="358"/>
    <s v="76263-95145-GJ"/>
    <s v="L-D-2.5"/>
    <x v="27"/>
    <n v="1"/>
    <x v="407"/>
    <s v=""/>
    <x v="0"/>
    <s v="Houston"/>
    <s v="Lib"/>
    <s v="D"/>
    <x v="2"/>
    <n v="29.784999999999997"/>
    <n v="29.784999999999997"/>
    <n v="3.8720499999999998"/>
    <n v="3.8720499999999998"/>
    <x v="3"/>
    <x v="2"/>
    <x v="1"/>
  </r>
  <r>
    <s v="VJF-46305-323"/>
    <x v="161"/>
    <s v="68555-89840-GZ"/>
    <s v="L-D-0.5"/>
    <x v="31"/>
    <n v="2"/>
    <x v="408"/>
    <s v="msesonck@census.gov"/>
    <x v="0"/>
    <s v="Seattle"/>
    <s v="Lib"/>
    <s v="D"/>
    <x v="1"/>
    <n v="7.77"/>
    <n v="15.54"/>
    <n v="1.0101"/>
    <n v="2.0202"/>
    <x v="3"/>
    <x v="2"/>
    <x v="1"/>
  </r>
  <r>
    <s v="CXD-74176-600"/>
    <x v="129"/>
    <s v="70624-19112-AO"/>
    <s v="E-L-0.5"/>
    <x v="38"/>
    <n v="4"/>
    <x v="409"/>
    <s v="craglessc7@webmd.com"/>
    <x v="1"/>
    <s v="Caherconlish"/>
    <s v="Exc"/>
    <s v="L"/>
    <x v="1"/>
    <n v="8.91"/>
    <n v="35.64"/>
    <n v="0.98009999999999997"/>
    <n v="3.9203999999999999"/>
    <x v="1"/>
    <x v="1"/>
    <x v="1"/>
  </r>
  <r>
    <s v="ADX-50674-975"/>
    <x v="359"/>
    <s v="58916-61837-QH"/>
    <s v="A-M-2.5"/>
    <x v="37"/>
    <n v="4"/>
    <x v="410"/>
    <s v="fhollowsc8@blogtalkradio.com"/>
    <x v="0"/>
    <s v="Buffalo"/>
    <s v="Ara"/>
    <s v="M"/>
    <x v="2"/>
    <n v="25.874999999999996"/>
    <n v="103.49999999999999"/>
    <n v="2.3287499999999994"/>
    <n v="9.3149999999999977"/>
    <x v="2"/>
    <x v="0"/>
    <x v="0"/>
  </r>
  <r>
    <s v="RRP-51647-420"/>
    <x v="360"/>
    <s v="89292-52335-YZ"/>
    <s v="E-D-1"/>
    <x v="45"/>
    <n v="3"/>
    <x v="411"/>
    <s v="llathleiffc9@nationalgeographic.com"/>
    <x v="1"/>
    <s v="Shankill"/>
    <s v="Exc"/>
    <s v="D"/>
    <x v="0"/>
    <n v="12.15"/>
    <n v="36.450000000000003"/>
    <n v="1.3365"/>
    <n v="4.0095000000000001"/>
    <x v="1"/>
    <x v="2"/>
    <x v="0"/>
  </r>
  <r>
    <s v="PKJ-99134-523"/>
    <x v="361"/>
    <s v="77284-34297-YY"/>
    <s v="R-L-0.5"/>
    <x v="35"/>
    <n v="5"/>
    <x v="412"/>
    <s v="kheadsca@jalbum.net"/>
    <x v="0"/>
    <s v="Bethlehem"/>
    <s v="Rob"/>
    <s v="L"/>
    <x v="1"/>
    <n v="7.169999999999999"/>
    <n v="35.849999999999994"/>
    <n v="0.43019999999999992"/>
    <n v="2.1509999999999998"/>
    <x v="0"/>
    <x v="1"/>
    <x v="1"/>
  </r>
  <r>
    <s v="FZQ-29439-457"/>
    <x v="362"/>
    <s v="50449-80974-BZ"/>
    <s v="E-L-0.2"/>
    <x v="46"/>
    <n v="5"/>
    <x v="413"/>
    <s v="tbownecb@unicef.org"/>
    <x v="1"/>
    <s v="Watergrasshill"/>
    <s v="Exc"/>
    <s v="L"/>
    <x v="3"/>
    <n v="4.4550000000000001"/>
    <n v="22.274999999999999"/>
    <n v="0.49004999999999999"/>
    <n v="2.45025"/>
    <x v="1"/>
    <x v="1"/>
    <x v="0"/>
  </r>
  <r>
    <s v="USN-68115-161"/>
    <x v="363"/>
    <s v="08120-16183-AW"/>
    <s v="E-M-0.2"/>
    <x v="18"/>
    <n v="6"/>
    <x v="414"/>
    <s v="rjacquemardcc@acquirethisname.com"/>
    <x v="1"/>
    <s v="Monasterevin"/>
    <s v="Exc"/>
    <s v="M"/>
    <x v="3"/>
    <n v="4.125"/>
    <n v="24.75"/>
    <n v="0.45374999999999999"/>
    <n v="2.7225000000000001"/>
    <x v="1"/>
    <x v="0"/>
    <x v="1"/>
  </r>
  <r>
    <s v="IXU-20263-532"/>
    <x v="364"/>
    <s v="68044-89277-ML"/>
    <s v="L-M-2.5"/>
    <x v="43"/>
    <n v="2"/>
    <x v="415"/>
    <s v="kwarmancd@printfriendly.com"/>
    <x v="1"/>
    <s v="Sandyford"/>
    <s v="Lib"/>
    <s v="M"/>
    <x v="2"/>
    <n v="33.464999999999996"/>
    <n v="66.929999999999993"/>
    <n v="4.3504499999999995"/>
    <n v="8.700899999999999"/>
    <x v="3"/>
    <x v="0"/>
    <x v="0"/>
  </r>
  <r>
    <s v="CBT-15092-420"/>
    <x v="85"/>
    <s v="71364-35210-HS"/>
    <s v="L-M-0.5"/>
    <x v="22"/>
    <n v="1"/>
    <x v="416"/>
    <s v="wcholomince@about.com"/>
    <x v="2"/>
    <s v="Birmingham"/>
    <s v="Lib"/>
    <s v="M"/>
    <x v="1"/>
    <n v="8.73"/>
    <n v="8.73"/>
    <n v="1.1349"/>
    <n v="1.1349"/>
    <x v="3"/>
    <x v="0"/>
    <x v="0"/>
  </r>
  <r>
    <s v="PKQ-46841-696"/>
    <x v="365"/>
    <s v="37177-68797-ON"/>
    <s v="R-M-0.5"/>
    <x v="8"/>
    <n v="3"/>
    <x v="417"/>
    <s v="abraidmancf@census.gov"/>
    <x v="0"/>
    <s v="Phoenix"/>
    <s v="Rob"/>
    <s v="M"/>
    <x v="1"/>
    <n v="5.97"/>
    <n v="17.91"/>
    <n v="0.35819999999999996"/>
    <n v="1.0745999999999998"/>
    <x v="0"/>
    <x v="0"/>
    <x v="1"/>
  </r>
  <r>
    <s v="XDU-05471-219"/>
    <x v="366"/>
    <s v="60308-06944-GS"/>
    <s v="R-L-0.5"/>
    <x v="35"/>
    <n v="1"/>
    <x v="418"/>
    <s v="pdurbancg@symantec.com"/>
    <x v="1"/>
    <s v="Longford"/>
    <s v="Rob"/>
    <s v="L"/>
    <x v="1"/>
    <n v="7.169999999999999"/>
    <n v="7.169999999999999"/>
    <n v="0.43019999999999992"/>
    <n v="0.43019999999999992"/>
    <x v="0"/>
    <x v="1"/>
    <x v="1"/>
  </r>
  <r>
    <s v="NID-20149-329"/>
    <x v="367"/>
    <s v="49888-39458-PF"/>
    <s v="R-D-0.2"/>
    <x v="25"/>
    <n v="2"/>
    <x v="419"/>
    <s v="aharroldch@miibeian.gov.cn"/>
    <x v="0"/>
    <s v="Toledo"/>
    <s v="Rob"/>
    <s v="D"/>
    <x v="3"/>
    <n v="2.6849999999999996"/>
    <n v="5.3699999999999992"/>
    <n v="0.16109999999999997"/>
    <n v="0.32219999999999993"/>
    <x v="0"/>
    <x v="2"/>
    <x v="1"/>
  </r>
  <r>
    <s v="SVU-27222-213"/>
    <x v="142"/>
    <s v="60748-46813-DZ"/>
    <s v="L-L-0.2"/>
    <x v="7"/>
    <n v="5"/>
    <x v="420"/>
    <s v="spamphilonci@mlb.com"/>
    <x v="1"/>
    <s v="Ballylinan"/>
    <s v="Lib"/>
    <s v="L"/>
    <x v="3"/>
    <n v="4.7549999999999999"/>
    <n v="23.774999999999999"/>
    <n v="0.61814999999999998"/>
    <n v="3.0907499999999999"/>
    <x v="3"/>
    <x v="1"/>
    <x v="1"/>
  </r>
  <r>
    <s v="RWI-84131-848"/>
    <x v="368"/>
    <s v="16385-11286-NX"/>
    <s v="R-D-2.5"/>
    <x v="11"/>
    <n v="2"/>
    <x v="421"/>
    <s v="mspurdencj@exblog.jp"/>
    <x v="0"/>
    <s v="Charlotte"/>
    <s v="Rob"/>
    <s v="D"/>
    <x v="2"/>
    <n v="20.584999999999997"/>
    <n v="41.169999999999995"/>
    <n v="1.2350999999999999"/>
    <n v="2.4701999999999997"/>
    <x v="0"/>
    <x v="2"/>
    <x v="0"/>
  </r>
  <r>
    <s v="GUU-40666-525"/>
    <x v="31"/>
    <s v="68555-89840-GZ"/>
    <s v="A-L-0.2"/>
    <x v="29"/>
    <n v="3"/>
    <x v="408"/>
    <s v="msesonck@census.gov"/>
    <x v="0"/>
    <s v="Seattle"/>
    <s v="Ara"/>
    <s v="L"/>
    <x v="3"/>
    <n v="3.8849999999999998"/>
    <n v="11.654999999999999"/>
    <n v="0.34964999999999996"/>
    <n v="1.0489499999999998"/>
    <x v="2"/>
    <x v="1"/>
    <x v="1"/>
  </r>
  <r>
    <s v="SCN-51395-066"/>
    <x v="369"/>
    <s v="72164-90254-EJ"/>
    <s v="L-L-0.5"/>
    <x v="23"/>
    <n v="4"/>
    <x v="422"/>
    <s v="npirronecl@weibo.com"/>
    <x v="0"/>
    <s v="Wilkes Barre"/>
    <s v="Lib"/>
    <s v="L"/>
    <x v="1"/>
    <n v="9.51"/>
    <n v="38.04"/>
    <n v="1.2363"/>
    <n v="4.9451999999999998"/>
    <x v="3"/>
    <x v="1"/>
    <x v="1"/>
  </r>
  <r>
    <s v="ULA-24644-321"/>
    <x v="370"/>
    <s v="67010-92988-CT"/>
    <s v="R-D-2.5"/>
    <x v="11"/>
    <n v="4"/>
    <x v="423"/>
    <s v="rcawleycm@yellowbook.com"/>
    <x v="1"/>
    <s v="Ballyboden"/>
    <s v="Rob"/>
    <s v="D"/>
    <x v="2"/>
    <n v="20.584999999999997"/>
    <n v="82.339999999999989"/>
    <n v="1.2350999999999999"/>
    <n v="4.9403999999999995"/>
    <x v="0"/>
    <x v="2"/>
    <x v="0"/>
  </r>
  <r>
    <s v="EOL-92666-762"/>
    <x v="371"/>
    <s v="15776-91507-GT"/>
    <s v="L-L-0.2"/>
    <x v="7"/>
    <n v="2"/>
    <x v="424"/>
    <s v="sbarribalcn@microsoft.com"/>
    <x v="1"/>
    <s v="Bagenalstown"/>
    <s v="Lib"/>
    <s v="L"/>
    <x v="3"/>
    <n v="4.7549999999999999"/>
    <n v="9.51"/>
    <n v="0.61814999999999998"/>
    <n v="1.2363"/>
    <x v="3"/>
    <x v="1"/>
    <x v="0"/>
  </r>
  <r>
    <s v="AJV-18231-334"/>
    <x v="372"/>
    <s v="23473-41001-CD"/>
    <s v="R-D-2.5"/>
    <x v="11"/>
    <n v="2"/>
    <x v="425"/>
    <s v="aadamidesco@bizjournals.com"/>
    <x v="2"/>
    <s v="Liverpool"/>
    <s v="Rob"/>
    <s v="D"/>
    <x v="2"/>
    <n v="20.584999999999997"/>
    <n v="41.169999999999995"/>
    <n v="1.2350999999999999"/>
    <n v="2.4701999999999997"/>
    <x v="0"/>
    <x v="2"/>
    <x v="1"/>
  </r>
  <r>
    <s v="ZQI-47236-301"/>
    <x v="373"/>
    <s v="23446-47798-ID"/>
    <s v="L-L-0.5"/>
    <x v="23"/>
    <n v="5"/>
    <x v="426"/>
    <s v="cthowescp@craigslist.org"/>
    <x v="0"/>
    <s v="Rochester"/>
    <s v="Lib"/>
    <s v="L"/>
    <x v="1"/>
    <n v="9.51"/>
    <n v="47.55"/>
    <n v="1.2363"/>
    <n v="6.1814999999999998"/>
    <x v="3"/>
    <x v="1"/>
    <x v="1"/>
  </r>
  <r>
    <s v="ZCR-15721-658"/>
    <x v="374"/>
    <s v="28327-84469-ND"/>
    <s v="A-M-1"/>
    <x v="17"/>
    <n v="4"/>
    <x v="427"/>
    <s v="rwillowaycq@admin.ch"/>
    <x v="0"/>
    <s v="Tucson"/>
    <s v="Ara"/>
    <s v="M"/>
    <x v="0"/>
    <n v="11.25"/>
    <n v="45"/>
    <n v="1.0125"/>
    <n v="4.05"/>
    <x v="2"/>
    <x v="0"/>
    <x v="1"/>
  </r>
  <r>
    <s v="QEW-47945-682"/>
    <x v="319"/>
    <s v="42466-87067-DT"/>
    <s v="L-L-0.2"/>
    <x v="7"/>
    <n v="5"/>
    <x v="428"/>
    <s v="aelwincr@privacy.gov.au"/>
    <x v="0"/>
    <s v="Minneapolis"/>
    <s v="Lib"/>
    <s v="L"/>
    <x v="3"/>
    <n v="4.7549999999999999"/>
    <n v="23.774999999999999"/>
    <n v="0.61814999999999998"/>
    <n v="3.0907499999999999"/>
    <x v="3"/>
    <x v="1"/>
    <x v="1"/>
  </r>
  <r>
    <s v="PSY-45485-542"/>
    <x v="375"/>
    <s v="62246-99443-HF"/>
    <s v="R-D-0.5"/>
    <x v="34"/>
    <n v="3"/>
    <x v="429"/>
    <s v="abilbrookcs@booking.com"/>
    <x v="1"/>
    <s v="Ashbourne"/>
    <s v="Rob"/>
    <s v="D"/>
    <x v="1"/>
    <n v="5.3699999999999992"/>
    <n v="16.11"/>
    <n v="0.32219999999999993"/>
    <n v="0.96659999999999979"/>
    <x v="0"/>
    <x v="2"/>
    <x v="0"/>
  </r>
  <r>
    <s v="BAQ-74241-156"/>
    <x v="376"/>
    <s v="99869-55718-UU"/>
    <s v="R-D-0.2"/>
    <x v="25"/>
    <n v="4"/>
    <x v="430"/>
    <s v="rmckallct@sakura.ne.jp"/>
    <x v="2"/>
    <s v="Bristol"/>
    <s v="Rob"/>
    <s v="D"/>
    <x v="3"/>
    <n v="2.6849999999999996"/>
    <n v="10.739999999999998"/>
    <n v="0.16109999999999997"/>
    <n v="0.64439999999999986"/>
    <x v="0"/>
    <x v="2"/>
    <x v="0"/>
  </r>
  <r>
    <s v="BVU-77367-451"/>
    <x v="377"/>
    <s v="77421-46059-RY"/>
    <s v="A-D-1"/>
    <x v="9"/>
    <n v="5"/>
    <x v="431"/>
    <s v="bdailecu@vistaprint.com"/>
    <x v="0"/>
    <s v="Atlanta"/>
    <s v="Ara"/>
    <s v="D"/>
    <x v="0"/>
    <n v="9.9499999999999993"/>
    <n v="49.75"/>
    <n v="0.89549999999999985"/>
    <n v="4.4774999999999991"/>
    <x v="2"/>
    <x v="2"/>
    <x v="0"/>
  </r>
  <r>
    <s v="TJE-91516-344"/>
    <x v="378"/>
    <s v="49894-06550-OQ"/>
    <s v="E-M-1"/>
    <x v="3"/>
    <n v="2"/>
    <x v="432"/>
    <s v="atrehernecv@state.tx.us"/>
    <x v="1"/>
    <s v="Farranacoush"/>
    <s v="Exc"/>
    <s v="M"/>
    <x v="0"/>
    <n v="13.75"/>
    <n v="27.5"/>
    <n v="1.5125"/>
    <n v="3.0249999999999999"/>
    <x v="1"/>
    <x v="0"/>
    <x v="1"/>
  </r>
  <r>
    <s v="LIS-96202-702"/>
    <x v="277"/>
    <s v="72028-63343-SU"/>
    <s v="L-D-2.5"/>
    <x v="27"/>
    <n v="4"/>
    <x v="433"/>
    <s v="abrentnallcw@biglobe.ne.jp"/>
    <x v="2"/>
    <s v="East End"/>
    <s v="Lib"/>
    <s v="D"/>
    <x v="2"/>
    <n v="29.784999999999997"/>
    <n v="119.13999999999999"/>
    <n v="3.8720499999999998"/>
    <n v="15.488199999999999"/>
    <x v="3"/>
    <x v="2"/>
    <x v="1"/>
  </r>
  <r>
    <s v="VIO-27668-766"/>
    <x v="379"/>
    <s v="10074-20104-NN"/>
    <s v="R-D-2.5"/>
    <x v="11"/>
    <n v="1"/>
    <x v="434"/>
    <s v="ddrinkallcx@psu.edu"/>
    <x v="0"/>
    <s v="Knoxville"/>
    <s v="Rob"/>
    <s v="D"/>
    <x v="2"/>
    <n v="20.584999999999997"/>
    <n v="20.584999999999997"/>
    <n v="1.2350999999999999"/>
    <n v="1.2350999999999999"/>
    <x v="0"/>
    <x v="2"/>
    <x v="0"/>
  </r>
  <r>
    <s v="ZVG-20473-043"/>
    <x v="86"/>
    <s v="71769-10219-IM"/>
    <s v="A-D-0.2"/>
    <x v="16"/>
    <n v="3"/>
    <x v="435"/>
    <s v="dkornelcy@cyberchimps.com"/>
    <x v="0"/>
    <s v="Saginaw"/>
    <s v="Ara"/>
    <s v="D"/>
    <x v="3"/>
    <n v="2.9849999999999999"/>
    <n v="8.9550000000000001"/>
    <n v="0.26865"/>
    <n v="0.80594999999999994"/>
    <x v="2"/>
    <x v="2"/>
    <x v="0"/>
  </r>
  <r>
    <s v="KGZ-56395-231"/>
    <x v="380"/>
    <s v="22221-71106-JD"/>
    <s v="A-D-0.5"/>
    <x v="20"/>
    <n v="1"/>
    <x v="436"/>
    <s v="rlequeuxcz@newyorker.com"/>
    <x v="0"/>
    <s v="Saint Augustine"/>
    <s v="Ara"/>
    <s v="D"/>
    <x v="1"/>
    <n v="5.97"/>
    <n v="5.97"/>
    <n v="0.5373"/>
    <n v="0.5373"/>
    <x v="2"/>
    <x v="2"/>
    <x v="1"/>
  </r>
  <r>
    <s v="CUU-92244-729"/>
    <x v="381"/>
    <s v="99735-44927-OL"/>
    <s v="E-M-1"/>
    <x v="3"/>
    <n v="3"/>
    <x v="437"/>
    <s v="jmccaulld0@parallels.com"/>
    <x v="0"/>
    <s v="San Rafael"/>
    <s v="Exc"/>
    <s v="M"/>
    <x v="0"/>
    <n v="13.75"/>
    <n v="41.25"/>
    <n v="1.5125"/>
    <n v="4.5374999999999996"/>
    <x v="1"/>
    <x v="0"/>
    <x v="0"/>
  </r>
  <r>
    <s v="EHE-94714-312"/>
    <x v="382"/>
    <s v="27132-68907-RC"/>
    <s v="E-L-0.2"/>
    <x v="46"/>
    <n v="5"/>
    <x v="438"/>
    <s v="abrashda@plala.or.jp"/>
    <x v="0"/>
    <s v="Flushing"/>
    <s v="Exc"/>
    <s v="L"/>
    <x v="3"/>
    <n v="4.4550000000000001"/>
    <n v="22.274999999999999"/>
    <n v="0.49004999999999999"/>
    <n v="2.45025"/>
    <x v="1"/>
    <x v="1"/>
    <x v="0"/>
  </r>
  <r>
    <s v="RTL-16205-161"/>
    <x v="11"/>
    <s v="90440-62727-HI"/>
    <s v="A-M-0.5"/>
    <x v="19"/>
    <n v="1"/>
    <x v="439"/>
    <s v="ahutchinsond2@imgur.com"/>
    <x v="0"/>
    <s v="Lawrenceville"/>
    <s v="Ara"/>
    <s v="M"/>
    <x v="1"/>
    <n v="6.75"/>
    <n v="6.75"/>
    <n v="0.60749999999999993"/>
    <n v="0.60749999999999993"/>
    <x v="2"/>
    <x v="0"/>
    <x v="0"/>
  </r>
  <r>
    <s v="GTS-22482-014"/>
    <x v="167"/>
    <s v="36769-16558-SX"/>
    <s v="L-M-2.5"/>
    <x v="43"/>
    <n v="4"/>
    <x v="440"/>
    <s v=""/>
    <x v="0"/>
    <s v="Topeka"/>
    <s v="Lib"/>
    <s v="M"/>
    <x v="2"/>
    <n v="33.464999999999996"/>
    <n v="133.85999999999999"/>
    <n v="4.3504499999999995"/>
    <n v="17.401799999999998"/>
    <x v="3"/>
    <x v="0"/>
    <x v="0"/>
  </r>
  <r>
    <s v="DYG-25473-881"/>
    <x v="383"/>
    <s v="10138-31681-SD"/>
    <s v="A-D-0.2"/>
    <x v="16"/>
    <n v="2"/>
    <x v="441"/>
    <s v="rdriversd4@hexun.com"/>
    <x v="0"/>
    <s v="Shawnee Mission"/>
    <s v="Ara"/>
    <s v="D"/>
    <x v="3"/>
    <n v="2.9849999999999999"/>
    <n v="5.97"/>
    <n v="0.26865"/>
    <n v="0.5373"/>
    <x v="2"/>
    <x v="2"/>
    <x v="1"/>
  </r>
  <r>
    <s v="HTR-21838-286"/>
    <x v="18"/>
    <s v="24669-76297-SF"/>
    <s v="A-L-1"/>
    <x v="2"/>
    <n v="2"/>
    <x v="442"/>
    <s v="hzeald5@google.de"/>
    <x v="0"/>
    <s v="Seattle"/>
    <s v="Ara"/>
    <s v="L"/>
    <x v="0"/>
    <n v="12.95"/>
    <n v="25.9"/>
    <n v="1.1655"/>
    <n v="2.331"/>
    <x v="2"/>
    <x v="1"/>
    <x v="1"/>
  </r>
  <r>
    <s v="KYG-28296-920"/>
    <x v="84"/>
    <s v="78050-20355-DI"/>
    <s v="E-M-2.5"/>
    <x v="28"/>
    <n v="1"/>
    <x v="443"/>
    <s v="gsmallcombed6@ucla.edu"/>
    <x v="1"/>
    <s v="Kilkenny"/>
    <s v="Exc"/>
    <s v="M"/>
    <x v="2"/>
    <n v="31.624999999999996"/>
    <n v="31.624999999999996"/>
    <n v="3.4787499999999998"/>
    <n v="3.4787499999999998"/>
    <x v="1"/>
    <x v="0"/>
    <x v="0"/>
  </r>
  <r>
    <s v="NNB-20459-430"/>
    <x v="384"/>
    <s v="79825-17822-UH"/>
    <s v="L-M-0.2"/>
    <x v="21"/>
    <n v="2"/>
    <x v="444"/>
    <s v="ddibleyd7@feedburner.com"/>
    <x v="0"/>
    <s v="Kissimmee"/>
    <s v="Lib"/>
    <s v="M"/>
    <x v="3"/>
    <n v="4.3650000000000002"/>
    <n v="8.73"/>
    <n v="0.56745000000000001"/>
    <n v="1.1349"/>
    <x v="3"/>
    <x v="0"/>
    <x v="1"/>
  </r>
  <r>
    <s v="FEK-14025-351"/>
    <x v="385"/>
    <s v="03990-21586-MQ"/>
    <s v="E-L-0.2"/>
    <x v="46"/>
    <n v="6"/>
    <x v="445"/>
    <s v="gdimitrioud8@chronoengine.com"/>
    <x v="0"/>
    <s v="Rochester"/>
    <s v="Exc"/>
    <s v="L"/>
    <x v="3"/>
    <n v="4.4550000000000001"/>
    <n v="26.73"/>
    <n v="0.49004999999999999"/>
    <n v="2.9402999999999997"/>
    <x v="1"/>
    <x v="1"/>
    <x v="0"/>
  </r>
  <r>
    <s v="AWH-16980-469"/>
    <x v="386"/>
    <s v="27493-46921-TZ"/>
    <s v="L-M-0.2"/>
    <x v="21"/>
    <n v="6"/>
    <x v="446"/>
    <s v="fflanagand9@woothemes.com"/>
    <x v="0"/>
    <s v="Tyler"/>
    <s v="Lib"/>
    <s v="M"/>
    <x v="3"/>
    <n v="4.3650000000000002"/>
    <n v="26.19"/>
    <n v="0.56745000000000001"/>
    <n v="3.4047000000000001"/>
    <x v="3"/>
    <x v="0"/>
    <x v="1"/>
  </r>
  <r>
    <s v="ZPW-31329-741"/>
    <x v="387"/>
    <s v="27132-68907-RC"/>
    <s v="R-D-1"/>
    <x v="39"/>
    <n v="6"/>
    <x v="438"/>
    <s v="abrashda@plala.or.jp"/>
    <x v="0"/>
    <s v="Flushing"/>
    <s v="Rob"/>
    <s v="D"/>
    <x v="0"/>
    <n v="8.9499999999999993"/>
    <n v="53.699999999999996"/>
    <n v="0.53699999999999992"/>
    <n v="3.2219999999999995"/>
    <x v="0"/>
    <x v="2"/>
    <x v="0"/>
  </r>
  <r>
    <s v="ZPW-31329-741"/>
    <x v="387"/>
    <s v="27132-68907-RC"/>
    <s v="E-M-2.5"/>
    <x v="28"/>
    <n v="4"/>
    <x v="438"/>
    <s v="abrashda@plala.or.jp"/>
    <x v="0"/>
    <s v="Flushing"/>
    <s v="Exc"/>
    <s v="M"/>
    <x v="2"/>
    <n v="31.624999999999996"/>
    <n v="126.49999999999999"/>
    <n v="3.4787499999999998"/>
    <n v="13.914999999999999"/>
    <x v="1"/>
    <x v="0"/>
    <x v="0"/>
  </r>
  <r>
    <s v="ZPW-31329-741"/>
    <x v="387"/>
    <s v="27132-68907-RC"/>
    <s v="E-M-0.2"/>
    <x v="18"/>
    <n v="1"/>
    <x v="438"/>
    <s v="abrashda@plala.or.jp"/>
    <x v="0"/>
    <s v="Flushing"/>
    <s v="Exc"/>
    <s v="M"/>
    <x v="3"/>
    <n v="4.125"/>
    <n v="4.125"/>
    <n v="0.45374999999999999"/>
    <n v="0.45374999999999999"/>
    <x v="1"/>
    <x v="0"/>
    <x v="0"/>
  </r>
  <r>
    <s v="UBI-83843-396"/>
    <x v="388"/>
    <s v="58816-74064-TF"/>
    <s v="R-L-1"/>
    <x v="41"/>
    <n v="2"/>
    <x v="447"/>
    <s v="nizhakovdd@aol.com"/>
    <x v="2"/>
    <s v="Seaton"/>
    <s v="Rob"/>
    <s v="L"/>
    <x v="0"/>
    <n v="11.95"/>
    <n v="23.9"/>
    <n v="0.71699999999999997"/>
    <n v="1.4339999999999999"/>
    <x v="0"/>
    <x v="1"/>
    <x v="1"/>
  </r>
  <r>
    <s v="VID-40587-569"/>
    <x v="389"/>
    <s v="09818-59895-EH"/>
    <s v="E-D-2.5"/>
    <x v="47"/>
    <n v="5"/>
    <x v="448"/>
    <s v="skeetsde@answers.com"/>
    <x v="0"/>
    <s v="Alexandria"/>
    <s v="Exc"/>
    <s v="D"/>
    <x v="2"/>
    <n v="27.945"/>
    <n v="139.72499999999999"/>
    <n v="3.07395"/>
    <n v="15.36975"/>
    <x v="1"/>
    <x v="2"/>
    <x v="0"/>
  </r>
  <r>
    <s v="KBB-52530-416"/>
    <x v="229"/>
    <s v="06488-46303-IZ"/>
    <s v="L-D-2.5"/>
    <x v="27"/>
    <n v="2"/>
    <x v="449"/>
    <s v=""/>
    <x v="0"/>
    <s v="Salt Lake City"/>
    <s v="Lib"/>
    <s v="D"/>
    <x v="2"/>
    <n v="29.784999999999997"/>
    <n v="59.569999999999993"/>
    <n v="3.8720499999999998"/>
    <n v="7.7440999999999995"/>
    <x v="3"/>
    <x v="2"/>
    <x v="0"/>
  </r>
  <r>
    <s v="ISJ-48676-420"/>
    <x v="390"/>
    <s v="93046-67561-AY"/>
    <s v="L-L-0.5"/>
    <x v="23"/>
    <n v="6"/>
    <x v="450"/>
    <s v="kcakedg@huffingtonpost.com"/>
    <x v="0"/>
    <s v="San Jose"/>
    <s v="Lib"/>
    <s v="L"/>
    <x v="1"/>
    <n v="9.51"/>
    <n v="57.06"/>
    <n v="1.2363"/>
    <n v="7.4177999999999997"/>
    <x v="3"/>
    <x v="1"/>
    <x v="1"/>
  </r>
  <r>
    <s v="MIF-17920-768"/>
    <x v="391"/>
    <s v="68946-40750-LK"/>
    <s v="R-L-0.2"/>
    <x v="40"/>
    <n v="6"/>
    <x v="451"/>
    <s v="mhanseddh@instagram.com"/>
    <x v="1"/>
    <s v="Tr谩 Mh贸r"/>
    <s v="Rob"/>
    <s v="L"/>
    <x v="3"/>
    <n v="3.5849999999999995"/>
    <n v="21.509999999999998"/>
    <n v="0.21509999999999996"/>
    <n v="1.2905999999999997"/>
    <x v="0"/>
    <x v="1"/>
    <x v="0"/>
  </r>
  <r>
    <s v="CPX-19312-088"/>
    <x v="117"/>
    <s v="38387-64959-WW"/>
    <s v="L-M-0.5"/>
    <x v="22"/>
    <n v="6"/>
    <x v="452"/>
    <s v="fkienleindi@trellian.com"/>
    <x v="1"/>
    <s v="Coolock"/>
    <s v="Lib"/>
    <s v="M"/>
    <x v="1"/>
    <n v="8.73"/>
    <n v="52.38"/>
    <n v="1.1349"/>
    <n v="6.8094000000000001"/>
    <x v="3"/>
    <x v="0"/>
    <x v="0"/>
  </r>
  <r>
    <s v="RXI-67978-260"/>
    <x v="392"/>
    <s v="48418-60841-CC"/>
    <s v="E-D-1"/>
    <x v="45"/>
    <n v="6"/>
    <x v="453"/>
    <s v="kegglestonedj@sphinn.com"/>
    <x v="1"/>
    <s v="Coolock"/>
    <s v="Exc"/>
    <s v="D"/>
    <x v="0"/>
    <n v="12.15"/>
    <n v="72.900000000000006"/>
    <n v="1.3365"/>
    <n v="8.0190000000000001"/>
    <x v="1"/>
    <x v="2"/>
    <x v="1"/>
  </r>
  <r>
    <s v="LKE-14821-285"/>
    <x v="393"/>
    <s v="13736-92418-JS"/>
    <s v="R-M-0.2"/>
    <x v="36"/>
    <n v="5"/>
    <x v="454"/>
    <s v="bsemkinsdk@unc.edu"/>
    <x v="1"/>
    <s v="Kinnegad"/>
    <s v="Rob"/>
    <s v="M"/>
    <x v="3"/>
    <n v="2.9849999999999999"/>
    <n v="14.924999999999999"/>
    <n v="0.17909999999999998"/>
    <n v="0.89549999999999996"/>
    <x v="0"/>
    <x v="0"/>
    <x v="0"/>
  </r>
  <r>
    <s v="LRK-97117-150"/>
    <x v="394"/>
    <s v="33000-22405-LO"/>
    <s v="L-L-1"/>
    <x v="32"/>
    <n v="6"/>
    <x v="455"/>
    <s v="slorenzettidl@is.gd"/>
    <x v="0"/>
    <s v="El Paso"/>
    <s v="Lib"/>
    <s v="L"/>
    <x v="0"/>
    <n v="15.85"/>
    <n v="95.1"/>
    <n v="2.0605000000000002"/>
    <n v="12.363000000000001"/>
    <x v="3"/>
    <x v="1"/>
    <x v="1"/>
  </r>
  <r>
    <s v="IGK-51227-573"/>
    <x v="137"/>
    <s v="46959-60474-LT"/>
    <s v="L-D-0.5"/>
    <x v="31"/>
    <n v="2"/>
    <x v="456"/>
    <s v="bgiannazzidm@apple.com"/>
    <x v="0"/>
    <s v="Fort Lauderdale"/>
    <s v="Lib"/>
    <s v="D"/>
    <x v="1"/>
    <n v="7.77"/>
    <n v="15.54"/>
    <n v="1.0101"/>
    <n v="2.0202"/>
    <x v="3"/>
    <x v="2"/>
    <x v="1"/>
  </r>
  <r>
    <s v="ZAY-43009-775"/>
    <x v="395"/>
    <s v="73431-39823-UP"/>
    <s v="L-D-0.2"/>
    <x v="12"/>
    <n v="6"/>
    <x v="457"/>
    <s v=""/>
    <x v="0"/>
    <s v="Indianapolis"/>
    <s v="Lib"/>
    <s v="D"/>
    <x v="3"/>
    <n v="3.8849999999999998"/>
    <n v="23.31"/>
    <n v="0.50505"/>
    <n v="3.0303"/>
    <x v="3"/>
    <x v="2"/>
    <x v="1"/>
  </r>
  <r>
    <s v="EMA-63190-618"/>
    <x v="396"/>
    <s v="90993-98984-JK"/>
    <s v="E-M-0.2"/>
    <x v="18"/>
    <n v="1"/>
    <x v="458"/>
    <s v="ulethbrigdo@hc360.com"/>
    <x v="0"/>
    <s v="Milwaukee"/>
    <s v="Exc"/>
    <s v="M"/>
    <x v="3"/>
    <n v="4.125"/>
    <n v="4.125"/>
    <n v="0.45374999999999999"/>
    <n v="0.45374999999999999"/>
    <x v="1"/>
    <x v="0"/>
    <x v="0"/>
  </r>
  <r>
    <s v="FBI-35855-418"/>
    <x v="189"/>
    <s v="06552-04430-AG"/>
    <s v="R-M-0.5"/>
    <x v="8"/>
    <n v="6"/>
    <x v="459"/>
    <s v="sfarnishdp@dmoz.org"/>
    <x v="2"/>
    <s v="Eaton"/>
    <s v="Rob"/>
    <s v="M"/>
    <x v="1"/>
    <n v="5.97"/>
    <n v="35.82"/>
    <n v="0.35819999999999996"/>
    <n v="2.1491999999999996"/>
    <x v="0"/>
    <x v="0"/>
    <x v="1"/>
  </r>
  <r>
    <s v="TXB-80533-417"/>
    <x v="8"/>
    <s v="54597-57004-QM"/>
    <s v="L-L-1"/>
    <x v="32"/>
    <n v="2"/>
    <x v="460"/>
    <s v="fjecockdq@unicef.org"/>
    <x v="0"/>
    <s v="Baton Rouge"/>
    <s v="Lib"/>
    <s v="L"/>
    <x v="0"/>
    <n v="15.85"/>
    <n v="31.7"/>
    <n v="2.0605000000000002"/>
    <n v="4.1210000000000004"/>
    <x v="3"/>
    <x v="1"/>
    <x v="1"/>
  </r>
  <r>
    <s v="MBM-00112-248"/>
    <x v="397"/>
    <s v="50238-24377-ZS"/>
    <s v="L-L-1"/>
    <x v="32"/>
    <n v="5"/>
    <x v="461"/>
    <s v=""/>
    <x v="0"/>
    <s v="Danbury"/>
    <s v="Lib"/>
    <s v="L"/>
    <x v="0"/>
    <n v="15.85"/>
    <n v="79.25"/>
    <n v="2.0605000000000002"/>
    <n v="10.302500000000002"/>
    <x v="3"/>
    <x v="1"/>
    <x v="0"/>
  </r>
  <r>
    <s v="EUO-69145-988"/>
    <x v="398"/>
    <s v="60370-41934-IF"/>
    <s v="E-D-0.2"/>
    <x v="15"/>
    <n v="3"/>
    <x v="462"/>
    <s v="hpallisterds@ning.com"/>
    <x v="0"/>
    <s v="Pensacola"/>
    <s v="Exc"/>
    <s v="D"/>
    <x v="3"/>
    <n v="3.645"/>
    <n v="10.935"/>
    <n v="0.40095000000000003"/>
    <n v="1.2028500000000002"/>
    <x v="1"/>
    <x v="2"/>
    <x v="1"/>
  </r>
  <r>
    <s v="GYA-80327-368"/>
    <x v="399"/>
    <s v="06899-54551-EH"/>
    <s v="A-D-1"/>
    <x v="9"/>
    <n v="4"/>
    <x v="463"/>
    <s v="cmershdt@drupal.org"/>
    <x v="1"/>
    <s v="Milltown"/>
    <s v="Ara"/>
    <s v="D"/>
    <x v="0"/>
    <n v="9.9499999999999993"/>
    <n v="39.799999999999997"/>
    <n v="0.89549999999999985"/>
    <n v="3.5819999999999994"/>
    <x v="2"/>
    <x v="2"/>
    <x v="1"/>
  </r>
  <r>
    <s v="TNW-41601-420"/>
    <x v="400"/>
    <s v="66458-91190-YC"/>
    <s v="R-M-1"/>
    <x v="0"/>
    <n v="5"/>
    <x v="464"/>
    <s v="murione5@alexa.com"/>
    <x v="1"/>
    <s v="Virginia"/>
    <s v="Rob"/>
    <s v="M"/>
    <x v="0"/>
    <n v="9.9499999999999993"/>
    <n v="49.75"/>
    <n v="0.59699999999999998"/>
    <n v="2.9849999999999999"/>
    <x v="0"/>
    <x v="0"/>
    <x v="0"/>
  </r>
  <r>
    <s v="ALR-62963-723"/>
    <x v="401"/>
    <s v="80463-43913-WZ"/>
    <s v="R-D-0.2"/>
    <x v="25"/>
    <n v="3"/>
    <x v="465"/>
    <s v=""/>
    <x v="1"/>
    <s v="Balally"/>
    <s v="Rob"/>
    <s v="D"/>
    <x v="3"/>
    <n v="2.6849999999999996"/>
    <n v="8.0549999999999997"/>
    <n v="0.16109999999999997"/>
    <n v="0.4832999999999999"/>
    <x v="0"/>
    <x v="2"/>
    <x v="0"/>
  </r>
  <r>
    <s v="JIG-27636-870"/>
    <x v="402"/>
    <s v="67204-04870-LG"/>
    <s v="R-L-1"/>
    <x v="41"/>
    <n v="4"/>
    <x v="466"/>
    <s v=""/>
    <x v="0"/>
    <s v="Grand Rapids"/>
    <s v="Rob"/>
    <s v="L"/>
    <x v="0"/>
    <n v="11.95"/>
    <n v="47.8"/>
    <n v="0.71699999999999997"/>
    <n v="2.8679999999999999"/>
    <x v="0"/>
    <x v="1"/>
    <x v="1"/>
  </r>
  <r>
    <s v="CTE-31437-326"/>
    <x v="6"/>
    <s v="22721-63196-UJ"/>
    <s v="R-M-0.2"/>
    <x v="36"/>
    <n v="4"/>
    <x v="467"/>
    <s v="gduckerdx@patch.com"/>
    <x v="2"/>
    <s v="Belfast"/>
    <s v="Rob"/>
    <s v="M"/>
    <x v="3"/>
    <n v="2.9849999999999999"/>
    <n v="11.94"/>
    <n v="0.17909999999999998"/>
    <n v="0.71639999999999993"/>
    <x v="0"/>
    <x v="0"/>
    <x v="1"/>
  </r>
  <r>
    <s v="CTE-31437-326"/>
    <x v="6"/>
    <s v="22721-63196-UJ"/>
    <s v="E-M-0.2"/>
    <x v="18"/>
    <n v="4"/>
    <x v="467"/>
    <s v="gduckerdx@patch.com"/>
    <x v="2"/>
    <s v="Belfast"/>
    <s v="Exc"/>
    <s v="M"/>
    <x v="3"/>
    <n v="4.125"/>
    <n v="16.5"/>
    <n v="0.45374999999999999"/>
    <n v="1.8149999999999999"/>
    <x v="1"/>
    <x v="0"/>
    <x v="1"/>
  </r>
  <r>
    <s v="CTE-31437-326"/>
    <x v="6"/>
    <s v="22721-63196-UJ"/>
    <s v="L-D-1"/>
    <x v="5"/>
    <n v="4"/>
    <x v="467"/>
    <s v="gduckerdx@patch.com"/>
    <x v="2"/>
    <s v="Belfast"/>
    <s v="Lib"/>
    <s v="D"/>
    <x v="0"/>
    <n v="12.95"/>
    <n v="51.8"/>
    <n v="1.6835"/>
    <n v="6.734"/>
    <x v="3"/>
    <x v="2"/>
    <x v="1"/>
  </r>
  <r>
    <s v="CTE-31437-326"/>
    <x v="6"/>
    <s v="22721-63196-UJ"/>
    <s v="L-L-0.2"/>
    <x v="7"/>
    <n v="3"/>
    <x v="467"/>
    <s v="gduckerdx@patch.com"/>
    <x v="2"/>
    <s v="Belfast"/>
    <s v="Lib"/>
    <s v="L"/>
    <x v="3"/>
    <n v="4.7549999999999999"/>
    <n v="14.265000000000001"/>
    <n v="0.61814999999999998"/>
    <n v="1.8544499999999999"/>
    <x v="3"/>
    <x v="1"/>
    <x v="1"/>
  </r>
  <r>
    <s v="SLD-63003-334"/>
    <x v="403"/>
    <s v="55515-37571-RS"/>
    <s v="L-M-0.2"/>
    <x v="21"/>
    <n v="6"/>
    <x v="468"/>
    <s v="wstearleye1@census.gov"/>
    <x v="0"/>
    <s v="High Point"/>
    <s v="Lib"/>
    <s v="M"/>
    <x v="3"/>
    <n v="4.3650000000000002"/>
    <n v="26.19"/>
    <n v="0.56745000000000001"/>
    <n v="3.4047000000000001"/>
    <x v="3"/>
    <x v="0"/>
    <x v="1"/>
  </r>
  <r>
    <s v="BXN-64230-789"/>
    <x v="404"/>
    <s v="25598-77476-CB"/>
    <s v="A-L-1"/>
    <x v="2"/>
    <n v="2"/>
    <x v="469"/>
    <s v="dwincere2@marriott.com"/>
    <x v="0"/>
    <s v="El Paso"/>
    <s v="Ara"/>
    <s v="L"/>
    <x v="0"/>
    <n v="12.95"/>
    <n v="25.9"/>
    <n v="1.1655"/>
    <n v="2.331"/>
    <x v="2"/>
    <x v="1"/>
    <x v="0"/>
  </r>
  <r>
    <s v="XEE-37895-169"/>
    <x v="21"/>
    <s v="14888-85625-TM"/>
    <s v="A-L-2.5"/>
    <x v="44"/>
    <n v="3"/>
    <x v="470"/>
    <s v="plyfielde3@baidu.com"/>
    <x v="0"/>
    <s v="Cleveland"/>
    <s v="Ara"/>
    <s v="L"/>
    <x v="2"/>
    <n v="29.784999999999997"/>
    <n v="89.35499999999999"/>
    <n v="2.6806499999999995"/>
    <n v="8.0419499999999982"/>
    <x v="2"/>
    <x v="1"/>
    <x v="0"/>
  </r>
  <r>
    <s v="ZTX-80764-911"/>
    <x v="239"/>
    <s v="92793-68332-NR"/>
    <s v="L-D-0.5"/>
    <x v="31"/>
    <n v="6"/>
    <x v="471"/>
    <s v="hperrise4@studiopress.com"/>
    <x v="1"/>
    <s v="Ballymahon"/>
    <s v="Lib"/>
    <s v="D"/>
    <x v="1"/>
    <n v="7.77"/>
    <n v="46.62"/>
    <n v="1.0101"/>
    <n v="6.0606"/>
    <x v="3"/>
    <x v="2"/>
    <x v="1"/>
  </r>
  <r>
    <s v="WVT-88135-549"/>
    <x v="405"/>
    <s v="66458-91190-YC"/>
    <s v="A-D-1"/>
    <x v="9"/>
    <n v="3"/>
    <x v="464"/>
    <s v="murione5@alexa.com"/>
    <x v="1"/>
    <s v="Virginia"/>
    <s v="Ara"/>
    <s v="D"/>
    <x v="0"/>
    <n v="9.9499999999999993"/>
    <n v="29.849999999999998"/>
    <n v="0.89549999999999985"/>
    <n v="2.6864999999999997"/>
    <x v="2"/>
    <x v="2"/>
    <x v="0"/>
  </r>
  <r>
    <s v="IPA-94170-889"/>
    <x v="292"/>
    <s v="64439-27325-LG"/>
    <s v="R-L-0.2"/>
    <x v="40"/>
    <n v="3"/>
    <x v="472"/>
    <s v="ckide6@narod.ru"/>
    <x v="1"/>
    <s v="Whitegate"/>
    <s v="Rob"/>
    <s v="L"/>
    <x v="3"/>
    <n v="3.5849999999999995"/>
    <n v="10.754999999999999"/>
    <n v="0.21509999999999996"/>
    <n v="0.64529999999999987"/>
    <x v="0"/>
    <x v="1"/>
    <x v="0"/>
  </r>
  <r>
    <s v="YQL-63755-365"/>
    <x v="117"/>
    <s v="78570-76770-LB"/>
    <s v="A-M-0.2"/>
    <x v="14"/>
    <n v="4"/>
    <x v="473"/>
    <s v="cbeinee7@xinhuanet.com"/>
    <x v="0"/>
    <s v="Birmingham"/>
    <s v="Ara"/>
    <s v="M"/>
    <x v="3"/>
    <n v="3.375"/>
    <n v="13.5"/>
    <n v="0.30374999999999996"/>
    <n v="1.2149999999999999"/>
    <x v="2"/>
    <x v="0"/>
    <x v="0"/>
  </r>
  <r>
    <s v="RKW-81145-984"/>
    <x v="406"/>
    <s v="98661-69719-VI"/>
    <s v="L-L-1"/>
    <x v="32"/>
    <n v="3"/>
    <x v="474"/>
    <s v="cbakeupe8@globo.com"/>
    <x v="0"/>
    <s v="Saint Cloud"/>
    <s v="Lib"/>
    <s v="L"/>
    <x v="0"/>
    <n v="15.85"/>
    <n v="47.55"/>
    <n v="2.0605000000000002"/>
    <n v="6.1815000000000007"/>
    <x v="3"/>
    <x v="1"/>
    <x v="1"/>
  </r>
  <r>
    <s v="MBT-23379-866"/>
    <x v="407"/>
    <s v="82990-92703-IX"/>
    <s v="L-L-1"/>
    <x v="32"/>
    <n v="5"/>
    <x v="475"/>
    <s v="nhelkine9@example.com"/>
    <x v="0"/>
    <s v="Philadelphia"/>
    <s v="Lib"/>
    <s v="L"/>
    <x v="0"/>
    <n v="15.85"/>
    <n v="79.25"/>
    <n v="2.0605000000000002"/>
    <n v="10.302500000000002"/>
    <x v="3"/>
    <x v="1"/>
    <x v="1"/>
  </r>
  <r>
    <s v="GEJ-39834-935"/>
    <x v="408"/>
    <s v="49412-86877-VY"/>
    <s v="L-M-0.2"/>
    <x v="21"/>
    <n v="6"/>
    <x v="476"/>
    <s v="pwitheringtonea@networkadvertising.org"/>
    <x v="0"/>
    <s v="Detroit"/>
    <s v="Lib"/>
    <s v="M"/>
    <x v="3"/>
    <n v="4.3650000000000002"/>
    <n v="26.19"/>
    <n v="0.56745000000000001"/>
    <n v="3.4047000000000001"/>
    <x v="3"/>
    <x v="0"/>
    <x v="0"/>
  </r>
  <r>
    <s v="KRW-91640-596"/>
    <x v="409"/>
    <s v="70879-00984-FJ"/>
    <s v="R-L-0.5"/>
    <x v="35"/>
    <n v="3"/>
    <x v="477"/>
    <s v="ttilzeyeb@hostgator.com"/>
    <x v="0"/>
    <s v="Saint Louis"/>
    <s v="Rob"/>
    <s v="L"/>
    <x v="1"/>
    <n v="7.169999999999999"/>
    <n v="21.509999999999998"/>
    <n v="0.43019999999999992"/>
    <n v="1.2905999999999997"/>
    <x v="0"/>
    <x v="1"/>
    <x v="1"/>
  </r>
  <r>
    <s v="AOT-70449-651"/>
    <x v="410"/>
    <s v="53414-73391-CR"/>
    <s v="R-D-2.5"/>
    <x v="11"/>
    <n v="5"/>
    <x v="478"/>
    <s v=""/>
    <x v="0"/>
    <s v="Schenectady"/>
    <s v="Rob"/>
    <s v="D"/>
    <x v="2"/>
    <n v="20.584999999999997"/>
    <n v="102.92499999999998"/>
    <n v="1.2350999999999999"/>
    <n v="6.1754999999999995"/>
    <x v="0"/>
    <x v="2"/>
    <x v="0"/>
  </r>
  <r>
    <s v="DGC-21813-731"/>
    <x v="127"/>
    <s v="43606-83072-OA"/>
    <s v="L-D-0.2"/>
    <x v="12"/>
    <n v="2"/>
    <x v="479"/>
    <s v=""/>
    <x v="0"/>
    <s v="Lakeland"/>
    <s v="Lib"/>
    <s v="D"/>
    <x v="3"/>
    <n v="3.8849999999999998"/>
    <n v="7.77"/>
    <n v="0.50505"/>
    <n v="1.0101"/>
    <x v="3"/>
    <x v="2"/>
    <x v="1"/>
  </r>
  <r>
    <s v="JBE-92943-643"/>
    <x v="411"/>
    <s v="84466-22864-CE"/>
    <s v="E-D-2.5"/>
    <x v="47"/>
    <n v="5"/>
    <x v="480"/>
    <s v="kimortsee@alexa.com"/>
    <x v="0"/>
    <s v="Melbourne"/>
    <s v="Exc"/>
    <s v="D"/>
    <x v="2"/>
    <n v="27.945"/>
    <n v="139.72499999999999"/>
    <n v="3.07395"/>
    <n v="15.36975"/>
    <x v="1"/>
    <x v="2"/>
    <x v="1"/>
  </r>
  <r>
    <s v="ZIL-34948-499"/>
    <x v="112"/>
    <s v="66458-91190-YC"/>
    <s v="A-D-0.5"/>
    <x v="20"/>
    <n v="2"/>
    <x v="464"/>
    <s v="murione5@alexa.com"/>
    <x v="1"/>
    <s v="Virginia"/>
    <s v="Ara"/>
    <s v="D"/>
    <x v="1"/>
    <n v="5.97"/>
    <n v="11.94"/>
    <n v="0.5373"/>
    <n v="1.0746"/>
    <x v="2"/>
    <x v="2"/>
    <x v="0"/>
  </r>
  <r>
    <s v="JSU-23781-256"/>
    <x v="412"/>
    <s v="76499-89100-JQ"/>
    <s v="L-D-0.2"/>
    <x v="12"/>
    <n v="1"/>
    <x v="481"/>
    <s v="marmisteadeg@blogtalkradio.com"/>
    <x v="0"/>
    <s v="New Orleans"/>
    <s v="Lib"/>
    <s v="D"/>
    <x v="3"/>
    <n v="3.8849999999999998"/>
    <n v="3.8849999999999998"/>
    <n v="0.50505"/>
    <n v="0.50505"/>
    <x v="3"/>
    <x v="2"/>
    <x v="1"/>
  </r>
  <r>
    <s v="JSU-23781-256"/>
    <x v="412"/>
    <s v="76499-89100-JQ"/>
    <s v="R-M-1"/>
    <x v="0"/>
    <n v="4"/>
    <x v="481"/>
    <s v="marmisteadeg@blogtalkradio.com"/>
    <x v="0"/>
    <s v="New Orleans"/>
    <s v="Rob"/>
    <s v="M"/>
    <x v="0"/>
    <n v="9.9499999999999993"/>
    <n v="39.799999999999997"/>
    <n v="0.59699999999999998"/>
    <n v="2.3879999999999999"/>
    <x v="0"/>
    <x v="0"/>
    <x v="1"/>
  </r>
  <r>
    <s v="VPX-44956-367"/>
    <x v="413"/>
    <s v="39582-35773-ZJ"/>
    <s v="R-M-0.5"/>
    <x v="8"/>
    <n v="5"/>
    <x v="482"/>
    <s v="vupstoneei@google.pl"/>
    <x v="0"/>
    <s v="Topeka"/>
    <s v="Rob"/>
    <s v="M"/>
    <x v="1"/>
    <n v="5.97"/>
    <n v="29.849999999999998"/>
    <n v="0.35819999999999996"/>
    <n v="1.7909999999999999"/>
    <x v="0"/>
    <x v="0"/>
    <x v="1"/>
  </r>
  <r>
    <s v="VTB-46451-959"/>
    <x v="414"/>
    <s v="66240-46962-IO"/>
    <s v="L-D-2.5"/>
    <x v="27"/>
    <n v="1"/>
    <x v="483"/>
    <s v="bbeelbyej@rediff.com"/>
    <x v="1"/>
    <s v="Lucan"/>
    <s v="Lib"/>
    <s v="D"/>
    <x v="2"/>
    <n v="29.784999999999997"/>
    <n v="29.784999999999997"/>
    <n v="3.8720499999999998"/>
    <n v="3.8720499999999998"/>
    <x v="3"/>
    <x v="2"/>
    <x v="1"/>
  </r>
  <r>
    <s v="DNZ-11665-950"/>
    <x v="415"/>
    <s v="10637-45522-ID"/>
    <s v="L-L-2.5"/>
    <x v="26"/>
    <n v="2"/>
    <x v="484"/>
    <s v=""/>
    <x v="0"/>
    <s v="Springfield"/>
    <s v="Lib"/>
    <s v="L"/>
    <x v="2"/>
    <n v="36.454999999999998"/>
    <n v="72.91"/>
    <n v="4.7391499999999995"/>
    <n v="9.4782999999999991"/>
    <x v="3"/>
    <x v="1"/>
    <x v="1"/>
  </r>
  <r>
    <s v="ITR-54735-364"/>
    <x v="416"/>
    <s v="92599-58687-CS"/>
    <s v="R-D-0.2"/>
    <x v="25"/>
    <n v="5"/>
    <x v="485"/>
    <s v=""/>
    <x v="0"/>
    <s v="Camden"/>
    <s v="Rob"/>
    <s v="D"/>
    <x v="3"/>
    <n v="2.6849999999999996"/>
    <n v="13.424999999999997"/>
    <n v="0.16109999999999997"/>
    <n v="0.80549999999999988"/>
    <x v="0"/>
    <x v="2"/>
    <x v="0"/>
  </r>
  <r>
    <s v="YDS-02797-307"/>
    <x v="417"/>
    <s v="06058-48844-PI"/>
    <s v="E-M-2.5"/>
    <x v="28"/>
    <n v="4"/>
    <x v="486"/>
    <s v="wspeechlyem@amazon.com"/>
    <x v="0"/>
    <s v="Seattle"/>
    <s v="Exc"/>
    <s v="M"/>
    <x v="2"/>
    <n v="31.624999999999996"/>
    <n v="126.49999999999999"/>
    <n v="3.4787499999999998"/>
    <n v="13.914999999999999"/>
    <x v="1"/>
    <x v="0"/>
    <x v="0"/>
  </r>
  <r>
    <s v="BPG-68988-842"/>
    <x v="418"/>
    <s v="53631-24432-SY"/>
    <s v="E-M-0.5"/>
    <x v="1"/>
    <n v="5"/>
    <x v="487"/>
    <s v="iphillpoten@buzzfeed.com"/>
    <x v="2"/>
    <s v="Wootton"/>
    <s v="Exc"/>
    <s v="M"/>
    <x v="1"/>
    <n v="8.25"/>
    <n v="41.25"/>
    <n v="0.90749999999999997"/>
    <n v="4.5374999999999996"/>
    <x v="1"/>
    <x v="0"/>
    <x v="1"/>
  </r>
  <r>
    <s v="XZG-51938-658"/>
    <x v="419"/>
    <s v="18275-73980-KL"/>
    <s v="E-L-0.5"/>
    <x v="38"/>
    <n v="6"/>
    <x v="488"/>
    <s v="lpennaccieo@statcounter.com"/>
    <x v="0"/>
    <s v="Waco"/>
    <s v="Exc"/>
    <s v="L"/>
    <x v="1"/>
    <n v="8.91"/>
    <n v="53.46"/>
    <n v="0.98009999999999997"/>
    <n v="5.8805999999999994"/>
    <x v="1"/>
    <x v="1"/>
    <x v="1"/>
  </r>
  <r>
    <s v="KAR-24978-271"/>
    <x v="420"/>
    <s v="23187-65750-HZ"/>
    <s v="R-M-1"/>
    <x v="0"/>
    <n v="6"/>
    <x v="489"/>
    <s v="sarpinep@moonfruit.com"/>
    <x v="0"/>
    <s v="Richmond"/>
    <s v="Rob"/>
    <s v="M"/>
    <x v="0"/>
    <n v="9.9499999999999993"/>
    <n v="59.699999999999996"/>
    <n v="0.59699999999999998"/>
    <n v="3.5819999999999999"/>
    <x v="0"/>
    <x v="0"/>
    <x v="1"/>
  </r>
  <r>
    <s v="FQK-28730-361"/>
    <x v="421"/>
    <s v="22725-79522-GP"/>
    <s v="R-M-1"/>
    <x v="0"/>
    <n v="6"/>
    <x v="490"/>
    <s v="dfrieseq@cargocollective.com"/>
    <x v="0"/>
    <s v="Toledo"/>
    <s v="Rob"/>
    <s v="M"/>
    <x v="0"/>
    <n v="9.9499999999999993"/>
    <n v="59.699999999999996"/>
    <n v="0.59699999999999998"/>
    <n v="3.5819999999999999"/>
    <x v="0"/>
    <x v="0"/>
    <x v="1"/>
  </r>
  <r>
    <s v="BGB-67996-089"/>
    <x v="422"/>
    <s v="06279-72603-JE"/>
    <s v="R-D-1"/>
    <x v="39"/>
    <n v="5"/>
    <x v="491"/>
    <s v="rsharerer@flavors.me"/>
    <x v="0"/>
    <s v="Huntington"/>
    <s v="Rob"/>
    <s v="D"/>
    <x v="0"/>
    <n v="8.9499999999999993"/>
    <n v="44.75"/>
    <n v="0.53699999999999992"/>
    <n v="2.6849999999999996"/>
    <x v="0"/>
    <x v="2"/>
    <x v="1"/>
  </r>
  <r>
    <s v="XMC-20620-809"/>
    <x v="423"/>
    <s v="83543-79246-ON"/>
    <s v="E-M-0.5"/>
    <x v="1"/>
    <n v="2"/>
    <x v="492"/>
    <s v="nnasebyes@umich.edu"/>
    <x v="0"/>
    <s v="Winter Haven"/>
    <s v="Exc"/>
    <s v="M"/>
    <x v="1"/>
    <n v="8.25"/>
    <n v="16.5"/>
    <n v="0.90749999999999997"/>
    <n v="1.8149999999999999"/>
    <x v="1"/>
    <x v="0"/>
    <x v="0"/>
  </r>
  <r>
    <s v="ZSO-58292-191"/>
    <x v="109"/>
    <s v="66794-66795-VW"/>
    <s v="R-D-0.5"/>
    <x v="34"/>
    <n v="4"/>
    <x v="493"/>
    <s v=""/>
    <x v="0"/>
    <s v="Dallas"/>
    <s v="Rob"/>
    <s v="D"/>
    <x v="1"/>
    <n v="5.3699999999999992"/>
    <n v="21.479999999999997"/>
    <n v="0.32219999999999993"/>
    <n v="1.2887999999999997"/>
    <x v="0"/>
    <x v="2"/>
    <x v="1"/>
  </r>
  <r>
    <s v="LWJ-06793-303"/>
    <x v="204"/>
    <s v="95424-67020-AP"/>
    <s v="R-M-2.5"/>
    <x v="13"/>
    <n v="2"/>
    <x v="494"/>
    <s v="koculleneu@ca.gov"/>
    <x v="1"/>
    <s v="Adare"/>
    <s v="Rob"/>
    <s v="M"/>
    <x v="2"/>
    <n v="22.884999999999998"/>
    <n v="45.769999999999996"/>
    <n v="1.3730999999999998"/>
    <n v="2.7461999999999995"/>
    <x v="0"/>
    <x v="0"/>
    <x v="0"/>
  </r>
  <r>
    <s v="FLM-82229-989"/>
    <x v="424"/>
    <s v="73017-69644-MS"/>
    <s v="L-L-0.2"/>
    <x v="7"/>
    <n v="2"/>
    <x v="495"/>
    <s v=""/>
    <x v="1"/>
    <s v="Ballivor"/>
    <s v="Lib"/>
    <s v="L"/>
    <x v="3"/>
    <n v="4.7549999999999999"/>
    <n v="9.51"/>
    <n v="0.61814999999999998"/>
    <n v="1.2363"/>
    <x v="3"/>
    <x v="1"/>
    <x v="1"/>
  </r>
  <r>
    <s v="CPV-90280-133"/>
    <x v="13"/>
    <s v="66458-91190-YC"/>
    <s v="R-D-0.2"/>
    <x v="25"/>
    <n v="3"/>
    <x v="464"/>
    <s v="murione5@alexa.com"/>
    <x v="1"/>
    <s v="Virginia"/>
    <s v="Rob"/>
    <s v="D"/>
    <x v="3"/>
    <n v="2.6849999999999996"/>
    <n v="8.0549999999999997"/>
    <n v="0.16109999999999997"/>
    <n v="0.4832999999999999"/>
    <x v="0"/>
    <x v="2"/>
    <x v="0"/>
  </r>
  <r>
    <s v="OGW-60685-912"/>
    <x v="224"/>
    <s v="67423-10113-LM"/>
    <s v="E-D-2.5"/>
    <x v="47"/>
    <n v="4"/>
    <x v="496"/>
    <s v="hbranganex@woothemes.com"/>
    <x v="0"/>
    <s v="Evansville"/>
    <s v="Exc"/>
    <s v="D"/>
    <x v="2"/>
    <n v="27.945"/>
    <n v="111.78"/>
    <n v="3.07395"/>
    <n v="12.2958"/>
    <x v="1"/>
    <x v="2"/>
    <x v="0"/>
  </r>
  <r>
    <s v="DEC-11160-362"/>
    <x v="220"/>
    <s v="48582-05061-RY"/>
    <s v="R-D-0.2"/>
    <x v="25"/>
    <n v="4"/>
    <x v="497"/>
    <s v="agallyoney@engadget.com"/>
    <x v="0"/>
    <s v="Naperville"/>
    <s v="Rob"/>
    <s v="D"/>
    <x v="3"/>
    <n v="2.6849999999999996"/>
    <n v="10.739999999999998"/>
    <n v="0.16109999999999997"/>
    <n v="0.64439999999999986"/>
    <x v="0"/>
    <x v="2"/>
    <x v="0"/>
  </r>
  <r>
    <s v="WCT-07869-499"/>
    <x v="91"/>
    <s v="32031-49093-KE"/>
    <s v="R-D-0.5"/>
    <x v="34"/>
    <n v="5"/>
    <x v="498"/>
    <s v="bdomangeez@yahoo.co.jp"/>
    <x v="0"/>
    <s v="Charleston"/>
    <s v="Rob"/>
    <s v="D"/>
    <x v="1"/>
    <n v="5.3699999999999992"/>
    <n v="26.849999999999994"/>
    <n v="0.32219999999999993"/>
    <n v="1.6109999999999998"/>
    <x v="0"/>
    <x v="2"/>
    <x v="1"/>
  </r>
  <r>
    <s v="FHD-89872-325"/>
    <x v="425"/>
    <s v="31715-98714-OO"/>
    <s v="L-L-1"/>
    <x v="32"/>
    <n v="4"/>
    <x v="499"/>
    <s v="koslerf0@gmpg.org"/>
    <x v="0"/>
    <s v="Lansing"/>
    <s v="Lib"/>
    <s v="L"/>
    <x v="0"/>
    <n v="15.85"/>
    <n v="63.4"/>
    <n v="2.0605000000000002"/>
    <n v="8.2420000000000009"/>
    <x v="3"/>
    <x v="1"/>
    <x v="0"/>
  </r>
  <r>
    <s v="AZF-45991-584"/>
    <x v="426"/>
    <s v="73759-17258-KA"/>
    <s v="A-D-2.5"/>
    <x v="30"/>
    <n v="1"/>
    <x v="500"/>
    <s v=""/>
    <x v="1"/>
    <s v="Boyle"/>
    <s v="Ara"/>
    <s v="D"/>
    <x v="2"/>
    <n v="22.884999999999998"/>
    <n v="22.884999999999998"/>
    <n v="2.0596499999999995"/>
    <n v="2.0596499999999995"/>
    <x v="2"/>
    <x v="2"/>
    <x v="0"/>
  </r>
  <r>
    <s v="MDG-14481-513"/>
    <x v="427"/>
    <s v="64897-79178-MH"/>
    <s v="A-M-2.5"/>
    <x v="37"/>
    <n v="4"/>
    <x v="501"/>
    <s v="zpellettf2@dailymotion.com"/>
    <x v="0"/>
    <s v="Shreveport"/>
    <s v="Ara"/>
    <s v="M"/>
    <x v="2"/>
    <n v="25.874999999999996"/>
    <n v="103.49999999999999"/>
    <n v="2.3287499999999994"/>
    <n v="9.3149999999999977"/>
    <x v="2"/>
    <x v="0"/>
    <x v="1"/>
  </r>
  <r>
    <s v="OFN-49424-848"/>
    <x v="428"/>
    <s v="73346-85564-JB"/>
    <s v="R-L-2.5"/>
    <x v="4"/>
    <n v="2"/>
    <x v="502"/>
    <s v="isprakesf3@spiegel.de"/>
    <x v="0"/>
    <s v="San Jose"/>
    <s v="Rob"/>
    <s v="L"/>
    <x v="2"/>
    <n v="27.484999999999996"/>
    <n v="54.969999999999992"/>
    <n v="1.6490999999999998"/>
    <n v="3.2981999999999996"/>
    <x v="0"/>
    <x v="1"/>
    <x v="1"/>
  </r>
  <r>
    <s v="NFA-03411-746"/>
    <x v="383"/>
    <s v="07476-13102-NJ"/>
    <s v="A-L-0.5"/>
    <x v="42"/>
    <n v="2"/>
    <x v="503"/>
    <s v="hfromantf4@ucsd.edu"/>
    <x v="0"/>
    <s v="Philadelphia"/>
    <s v="Ara"/>
    <s v="L"/>
    <x v="1"/>
    <n v="7.77"/>
    <n v="15.54"/>
    <n v="0.69929999999999992"/>
    <n v="1.3985999999999998"/>
    <x v="2"/>
    <x v="1"/>
    <x v="1"/>
  </r>
  <r>
    <s v="CYM-74988-450"/>
    <x v="156"/>
    <s v="87223-37422-SK"/>
    <s v="L-D-0.2"/>
    <x v="12"/>
    <n v="4"/>
    <x v="504"/>
    <s v="rflearf5@artisteer.com"/>
    <x v="2"/>
    <s v="Sheffield"/>
    <s v="Lib"/>
    <s v="D"/>
    <x v="3"/>
    <n v="3.8849999999999998"/>
    <n v="15.54"/>
    <n v="0.50505"/>
    <n v="2.0202"/>
    <x v="3"/>
    <x v="2"/>
    <x v="1"/>
  </r>
  <r>
    <s v="WTV-24996-658"/>
    <x v="429"/>
    <s v="57837-15577-YK"/>
    <s v="E-D-2.5"/>
    <x v="47"/>
    <n v="3"/>
    <x v="505"/>
    <s v=""/>
    <x v="1"/>
    <s v="Manorhamilton"/>
    <s v="Exc"/>
    <s v="D"/>
    <x v="2"/>
    <n v="27.945"/>
    <n v="83.835000000000008"/>
    <n v="3.07395"/>
    <n v="9.2218499999999999"/>
    <x v="1"/>
    <x v="2"/>
    <x v="1"/>
  </r>
  <r>
    <s v="DSL-69915-544"/>
    <x v="103"/>
    <s v="10142-55267-YO"/>
    <s v="R-L-0.2"/>
    <x v="40"/>
    <n v="3"/>
    <x v="506"/>
    <s v="wlightollersf9@baidu.com"/>
    <x v="0"/>
    <s v="New York City"/>
    <s v="Rob"/>
    <s v="L"/>
    <x v="3"/>
    <n v="3.5849999999999995"/>
    <n v="10.754999999999999"/>
    <n v="0.21509999999999996"/>
    <n v="0.64529999999999987"/>
    <x v="0"/>
    <x v="1"/>
    <x v="0"/>
  </r>
  <r>
    <s v="NBT-35757-542"/>
    <x v="361"/>
    <s v="73647-66148-VM"/>
    <s v="E-L-0.2"/>
    <x v="46"/>
    <n v="3"/>
    <x v="507"/>
    <s v="bmundenf8@elpais.com"/>
    <x v="0"/>
    <s v="Oklahoma City"/>
    <s v="Exc"/>
    <s v="L"/>
    <x v="3"/>
    <n v="4.4550000000000001"/>
    <n v="13.365"/>
    <n v="0.49004999999999999"/>
    <n v="1.4701499999999998"/>
    <x v="1"/>
    <x v="1"/>
    <x v="0"/>
  </r>
  <r>
    <s v="OYU-25085-528"/>
    <x v="120"/>
    <s v="10142-55267-YO"/>
    <s v="E-L-0.2"/>
    <x v="46"/>
    <n v="4"/>
    <x v="506"/>
    <s v="wlightollersf9@baidu.com"/>
    <x v="0"/>
    <s v="New York City"/>
    <s v="Exc"/>
    <s v="L"/>
    <x v="3"/>
    <n v="4.4550000000000001"/>
    <n v="17.82"/>
    <n v="0.49004999999999999"/>
    <n v="1.9601999999999999"/>
    <x v="1"/>
    <x v="1"/>
    <x v="0"/>
  </r>
  <r>
    <s v="XCG-07109-195"/>
    <x v="430"/>
    <s v="92976-19453-DT"/>
    <s v="L-D-0.2"/>
    <x v="12"/>
    <n v="6"/>
    <x v="508"/>
    <s v="nbrakespearfa@rediff.com"/>
    <x v="0"/>
    <s v="Newark"/>
    <s v="Lib"/>
    <s v="D"/>
    <x v="3"/>
    <n v="3.8849999999999998"/>
    <n v="23.31"/>
    <n v="0.50505"/>
    <n v="3.0303"/>
    <x v="3"/>
    <x v="2"/>
    <x v="0"/>
  </r>
  <r>
    <s v="YZA-25234-630"/>
    <x v="125"/>
    <s v="89757-51438-HX"/>
    <s v="E-D-0.2"/>
    <x v="15"/>
    <n v="2"/>
    <x v="509"/>
    <s v="mglawsopfb@reverbnation.com"/>
    <x v="0"/>
    <s v="New Haven"/>
    <s v="Exc"/>
    <s v="D"/>
    <x v="3"/>
    <n v="3.645"/>
    <n v="7.29"/>
    <n v="0.40095000000000003"/>
    <n v="0.80190000000000006"/>
    <x v="1"/>
    <x v="2"/>
    <x v="1"/>
  </r>
  <r>
    <s v="OKU-29966-417"/>
    <x v="431"/>
    <s v="76192-13390-HZ"/>
    <s v="E-L-0.2"/>
    <x v="46"/>
    <n v="4"/>
    <x v="510"/>
    <s v="galbertsfc@etsy.com"/>
    <x v="2"/>
    <s v="Belfast"/>
    <s v="Exc"/>
    <s v="L"/>
    <x v="3"/>
    <n v="4.4550000000000001"/>
    <n v="17.82"/>
    <n v="0.49004999999999999"/>
    <n v="1.9601999999999999"/>
    <x v="1"/>
    <x v="1"/>
    <x v="0"/>
  </r>
  <r>
    <s v="MEX-29350-659"/>
    <x v="40"/>
    <s v="02009-87294-SY"/>
    <s v="E-M-1"/>
    <x v="3"/>
    <n v="5"/>
    <x v="511"/>
    <s v="vpolglasefd@about.me"/>
    <x v="0"/>
    <s v="Toledo"/>
    <s v="Exc"/>
    <s v="M"/>
    <x v="0"/>
    <n v="13.75"/>
    <n v="68.75"/>
    <n v="1.5125"/>
    <n v="7.5625"/>
    <x v="1"/>
    <x v="0"/>
    <x v="1"/>
  </r>
  <r>
    <s v="NOY-99738-977"/>
    <x v="432"/>
    <s v="82872-34456-LJ"/>
    <s v="R-L-2.5"/>
    <x v="4"/>
    <n v="2"/>
    <x v="512"/>
    <s v=""/>
    <x v="2"/>
    <s v="Newton"/>
    <s v="Rob"/>
    <s v="L"/>
    <x v="2"/>
    <n v="27.484999999999996"/>
    <n v="54.969999999999992"/>
    <n v="1.6490999999999998"/>
    <n v="3.2981999999999996"/>
    <x v="0"/>
    <x v="1"/>
    <x v="0"/>
  </r>
  <r>
    <s v="TCR-01064-030"/>
    <x v="254"/>
    <s v="13181-04387-LI"/>
    <s v="E-M-1"/>
    <x v="3"/>
    <n v="6"/>
    <x v="513"/>
    <s v="sbuschff@so-net.ne.jp"/>
    <x v="1"/>
    <s v="Bantry"/>
    <s v="Exc"/>
    <s v="M"/>
    <x v="0"/>
    <n v="13.75"/>
    <n v="82.5"/>
    <n v="1.5125"/>
    <n v="9.0749999999999993"/>
    <x v="1"/>
    <x v="0"/>
    <x v="1"/>
  </r>
  <r>
    <s v="YUL-42750-776"/>
    <x v="219"/>
    <s v="24845-36117-TI"/>
    <s v="L-M-0.2"/>
    <x v="21"/>
    <n v="2"/>
    <x v="514"/>
    <s v="craisbeckfg@webnode.com"/>
    <x v="0"/>
    <s v="Shreveport"/>
    <s v="Lib"/>
    <s v="M"/>
    <x v="3"/>
    <n v="4.3650000000000002"/>
    <n v="8.73"/>
    <n v="0.56745000000000001"/>
    <n v="1.1349"/>
    <x v="3"/>
    <x v="0"/>
    <x v="0"/>
  </r>
  <r>
    <s v="XQJ-86887-506"/>
    <x v="433"/>
    <s v="66458-91190-YC"/>
    <s v="E-L-1"/>
    <x v="33"/>
    <n v="4"/>
    <x v="464"/>
    <s v="murione5@alexa.com"/>
    <x v="1"/>
    <s v="Virginia"/>
    <s v="Exc"/>
    <s v="L"/>
    <x v="0"/>
    <n v="14.85"/>
    <n v="59.4"/>
    <n v="1.6335"/>
    <n v="6.5339999999999998"/>
    <x v="1"/>
    <x v="1"/>
    <x v="0"/>
  </r>
  <r>
    <s v="CUN-90044-279"/>
    <x v="434"/>
    <s v="86646-65810-TD"/>
    <s v="L-D-0.2"/>
    <x v="12"/>
    <n v="4"/>
    <x v="515"/>
    <s v=""/>
    <x v="0"/>
    <s v="Lexington"/>
    <s v="Lib"/>
    <s v="D"/>
    <x v="3"/>
    <n v="3.8849999999999998"/>
    <n v="15.54"/>
    <n v="0.50505"/>
    <n v="2.0202"/>
    <x v="3"/>
    <x v="2"/>
    <x v="0"/>
  </r>
  <r>
    <s v="ICC-73030-502"/>
    <x v="435"/>
    <s v="59480-02795-IU"/>
    <s v="A-L-1"/>
    <x v="2"/>
    <n v="3"/>
    <x v="516"/>
    <s v="raynoldfj@ustream.tv"/>
    <x v="0"/>
    <s v="Milwaukee"/>
    <s v="Ara"/>
    <s v="L"/>
    <x v="0"/>
    <n v="12.95"/>
    <n v="38.849999999999994"/>
    <n v="1.1655"/>
    <n v="3.4965000000000002"/>
    <x v="2"/>
    <x v="1"/>
    <x v="0"/>
  </r>
  <r>
    <s v="ADP-04506-084"/>
    <x v="436"/>
    <s v="61809-87758-LJ"/>
    <s v="E-M-2.5"/>
    <x v="28"/>
    <n v="6"/>
    <x v="517"/>
    <s v=""/>
    <x v="0"/>
    <s v="Amarillo"/>
    <s v="Exc"/>
    <s v="M"/>
    <x v="2"/>
    <n v="31.624999999999996"/>
    <n v="189.74999999999997"/>
    <n v="3.4787499999999998"/>
    <n v="20.872499999999999"/>
    <x v="1"/>
    <x v="0"/>
    <x v="0"/>
  </r>
  <r>
    <s v="PNU-22150-408"/>
    <x v="437"/>
    <s v="77408-43873-RS"/>
    <s v="A-D-0.2"/>
    <x v="16"/>
    <n v="6"/>
    <x v="518"/>
    <s v=""/>
    <x v="1"/>
    <s v="Daingean"/>
    <s v="Ara"/>
    <s v="D"/>
    <x v="3"/>
    <n v="2.9849999999999999"/>
    <n v="17.91"/>
    <n v="0.26865"/>
    <n v="1.6118999999999999"/>
    <x v="2"/>
    <x v="2"/>
    <x v="0"/>
  </r>
  <r>
    <s v="VSQ-07182-513"/>
    <x v="438"/>
    <s v="18366-65239-WF"/>
    <s v="L-L-0.2"/>
    <x v="7"/>
    <n v="6"/>
    <x v="519"/>
    <s v="bgrecefm@naver.com"/>
    <x v="2"/>
    <s v="Halton"/>
    <s v="Lib"/>
    <s v="L"/>
    <x v="3"/>
    <n v="4.7549999999999999"/>
    <n v="28.53"/>
    <n v="0.61814999999999998"/>
    <n v="3.7088999999999999"/>
    <x v="3"/>
    <x v="1"/>
    <x v="1"/>
  </r>
  <r>
    <s v="SPF-31673-217"/>
    <x v="439"/>
    <s v="19485-98072-PS"/>
    <s v="E-M-1"/>
    <x v="3"/>
    <n v="6"/>
    <x v="520"/>
    <s v="dflintiffg1@e-recht24.de"/>
    <x v="2"/>
    <s v="London"/>
    <s v="Exc"/>
    <s v="M"/>
    <x v="0"/>
    <n v="13.75"/>
    <n v="82.5"/>
    <n v="1.5125"/>
    <n v="9.0749999999999993"/>
    <x v="1"/>
    <x v="0"/>
    <x v="1"/>
  </r>
  <r>
    <s v="NEX-63825-598"/>
    <x v="175"/>
    <s v="72072-33025-SD"/>
    <s v="R-L-0.5"/>
    <x v="35"/>
    <n v="2"/>
    <x v="521"/>
    <s v="athysfo@cdc.gov"/>
    <x v="0"/>
    <s v="Knoxville"/>
    <s v="Rob"/>
    <s v="L"/>
    <x v="1"/>
    <n v="7.169999999999999"/>
    <n v="14.339999999999998"/>
    <n v="0.43019999999999992"/>
    <n v="0.86039999999999983"/>
    <x v="0"/>
    <x v="1"/>
    <x v="1"/>
  </r>
  <r>
    <s v="XPG-66112-335"/>
    <x v="440"/>
    <s v="58118-22461-GC"/>
    <s v="R-D-2.5"/>
    <x v="11"/>
    <n v="4"/>
    <x v="522"/>
    <s v="jchuggfp@about.me"/>
    <x v="0"/>
    <s v="Shawnee Mission"/>
    <s v="Rob"/>
    <s v="D"/>
    <x v="2"/>
    <n v="20.584999999999997"/>
    <n v="82.339999999999989"/>
    <n v="1.2350999999999999"/>
    <n v="4.9403999999999995"/>
    <x v="0"/>
    <x v="2"/>
    <x v="1"/>
  </r>
  <r>
    <s v="NSQ-72210-345"/>
    <x v="441"/>
    <s v="90940-63327-DJ"/>
    <s v="A-M-0.2"/>
    <x v="14"/>
    <n v="6"/>
    <x v="523"/>
    <s v="akelstonfq@sakura.ne.jp"/>
    <x v="0"/>
    <s v="Fort Lauderdale"/>
    <s v="Ara"/>
    <s v="M"/>
    <x v="3"/>
    <n v="3.375"/>
    <n v="20.25"/>
    <n v="0.30374999999999996"/>
    <n v="1.8224999999999998"/>
    <x v="2"/>
    <x v="0"/>
    <x v="0"/>
  </r>
  <r>
    <s v="XRR-28376-277"/>
    <x v="442"/>
    <s v="64481-42546-II"/>
    <s v="R-L-2.5"/>
    <x v="4"/>
    <n v="6"/>
    <x v="524"/>
    <s v=""/>
    <x v="1"/>
    <s v="Tralee"/>
    <s v="Rob"/>
    <s v="L"/>
    <x v="2"/>
    <n v="27.484999999999996"/>
    <n v="164.90999999999997"/>
    <n v="1.6490999999999998"/>
    <n v="9.8945999999999987"/>
    <x v="0"/>
    <x v="1"/>
    <x v="1"/>
  </r>
  <r>
    <s v="WHQ-25197-475"/>
    <x v="443"/>
    <s v="27536-28463-NJ"/>
    <s v="L-L-0.2"/>
    <x v="7"/>
    <n v="4"/>
    <x v="525"/>
    <s v="cmottramfs@harvard.edu"/>
    <x v="0"/>
    <s v="Austin"/>
    <s v="Lib"/>
    <s v="L"/>
    <x v="3"/>
    <n v="4.7549999999999999"/>
    <n v="19.02"/>
    <n v="0.61814999999999998"/>
    <n v="2.4725999999999999"/>
    <x v="3"/>
    <x v="1"/>
    <x v="0"/>
  </r>
  <r>
    <s v="HMB-30634-745"/>
    <x v="216"/>
    <s v="19485-98072-PS"/>
    <s v="A-D-2.5"/>
    <x v="30"/>
    <n v="6"/>
    <x v="520"/>
    <s v="dflintiffg1@e-recht24.de"/>
    <x v="2"/>
    <s v="London"/>
    <s v="Ara"/>
    <s v="D"/>
    <x v="2"/>
    <n v="22.884999999999998"/>
    <n v="137.31"/>
    <n v="2.0596499999999995"/>
    <n v="12.357899999999997"/>
    <x v="2"/>
    <x v="2"/>
    <x v="1"/>
  </r>
  <r>
    <s v="XTL-68000-371"/>
    <x v="444"/>
    <s v="70140-82812-KD"/>
    <s v="A-M-0.5"/>
    <x v="19"/>
    <n v="4"/>
    <x v="526"/>
    <s v="dsangwinfu@weebly.com"/>
    <x v="0"/>
    <s v="Hyattsville"/>
    <s v="Ara"/>
    <s v="M"/>
    <x v="1"/>
    <n v="6.75"/>
    <n v="27"/>
    <n v="0.60749999999999993"/>
    <n v="2.4299999999999997"/>
    <x v="2"/>
    <x v="0"/>
    <x v="1"/>
  </r>
  <r>
    <s v="YES-51109-625"/>
    <x v="37"/>
    <s v="91895-55605-LS"/>
    <s v="E-L-0.5"/>
    <x v="38"/>
    <n v="4"/>
    <x v="527"/>
    <s v="eaizikowitzfv@virginia.edu"/>
    <x v="2"/>
    <s v="Ashley"/>
    <s v="Exc"/>
    <s v="L"/>
    <x v="1"/>
    <n v="8.91"/>
    <n v="35.64"/>
    <n v="0.98009999999999997"/>
    <n v="3.9203999999999999"/>
    <x v="1"/>
    <x v="1"/>
    <x v="1"/>
  </r>
  <r>
    <s v="EAY-89850-211"/>
    <x v="445"/>
    <s v="43155-71724-XP"/>
    <s v="A-D-0.2"/>
    <x v="16"/>
    <n v="2"/>
    <x v="528"/>
    <s v=""/>
    <x v="0"/>
    <s v="Pasadena"/>
    <s v="Ara"/>
    <s v="D"/>
    <x v="3"/>
    <n v="2.9849999999999999"/>
    <n v="5.97"/>
    <n v="0.26865"/>
    <n v="0.5373"/>
    <x v="2"/>
    <x v="2"/>
    <x v="0"/>
  </r>
  <r>
    <s v="IOQ-84840-827"/>
    <x v="446"/>
    <s v="32038-81174-JF"/>
    <s v="A-M-1"/>
    <x v="17"/>
    <n v="6"/>
    <x v="529"/>
    <s v="cvenourfx@ask.com"/>
    <x v="0"/>
    <s v="Shreveport"/>
    <s v="Ara"/>
    <s v="M"/>
    <x v="0"/>
    <n v="11.25"/>
    <n v="67.5"/>
    <n v="1.0125"/>
    <n v="6.0749999999999993"/>
    <x v="2"/>
    <x v="0"/>
    <x v="1"/>
  </r>
  <r>
    <s v="FBD-56220-430"/>
    <x v="245"/>
    <s v="59205-20324-NB"/>
    <s v="R-L-0.2"/>
    <x v="40"/>
    <n v="6"/>
    <x v="530"/>
    <s v="mharbyfy@163.com"/>
    <x v="0"/>
    <s v="Pensacola"/>
    <s v="Rob"/>
    <s v="L"/>
    <x v="3"/>
    <n v="3.5849999999999995"/>
    <n v="21.509999999999998"/>
    <n v="0.21509999999999996"/>
    <n v="1.2905999999999997"/>
    <x v="0"/>
    <x v="1"/>
    <x v="0"/>
  </r>
  <r>
    <s v="COV-52659-202"/>
    <x v="447"/>
    <s v="99899-54612-NX"/>
    <s v="L-M-2.5"/>
    <x v="43"/>
    <n v="2"/>
    <x v="531"/>
    <s v="rthickpennyfz@cafepress.com"/>
    <x v="0"/>
    <s v="Los Angeles"/>
    <s v="Lib"/>
    <s v="M"/>
    <x v="2"/>
    <n v="33.464999999999996"/>
    <n v="66.929999999999993"/>
    <n v="4.3504499999999995"/>
    <n v="8.700899999999999"/>
    <x v="3"/>
    <x v="0"/>
    <x v="1"/>
  </r>
  <r>
    <s v="YUO-76652-814"/>
    <x v="448"/>
    <s v="26248-84194-FI"/>
    <s v="A-D-0.2"/>
    <x v="16"/>
    <n v="6"/>
    <x v="532"/>
    <s v="pormerodg0@redcross.org"/>
    <x v="0"/>
    <s v="Durham"/>
    <s v="Ara"/>
    <s v="D"/>
    <x v="3"/>
    <n v="2.9849999999999999"/>
    <n v="17.91"/>
    <n v="0.26865"/>
    <n v="1.6118999999999999"/>
    <x v="2"/>
    <x v="2"/>
    <x v="1"/>
  </r>
  <r>
    <s v="PBT-36926-102"/>
    <x v="344"/>
    <s v="19485-98072-PS"/>
    <s v="L-M-1"/>
    <x v="24"/>
    <n v="4"/>
    <x v="520"/>
    <s v="dflintiffg1@e-recht24.de"/>
    <x v="2"/>
    <s v="London"/>
    <s v="Lib"/>
    <s v="M"/>
    <x v="0"/>
    <n v="14.55"/>
    <n v="58.2"/>
    <n v="1.8915000000000002"/>
    <n v="7.5660000000000007"/>
    <x v="3"/>
    <x v="0"/>
    <x v="1"/>
  </r>
  <r>
    <s v="BLV-60087-454"/>
    <x v="152"/>
    <s v="84493-71314-WX"/>
    <s v="E-L-0.2"/>
    <x v="46"/>
    <n v="3"/>
    <x v="533"/>
    <s v="tzanettig2@gravatar.com"/>
    <x v="1"/>
    <s v="Loughrea"/>
    <s v="Exc"/>
    <s v="L"/>
    <x v="3"/>
    <n v="4.4550000000000001"/>
    <n v="13.365"/>
    <n v="0.49004999999999999"/>
    <n v="1.4701499999999998"/>
    <x v="1"/>
    <x v="1"/>
    <x v="1"/>
  </r>
  <r>
    <s v="BLV-60087-454"/>
    <x v="152"/>
    <s v="84493-71314-WX"/>
    <s v="A-M-0.5"/>
    <x v="19"/>
    <n v="5"/>
    <x v="533"/>
    <s v="tzanettig2@gravatar.com"/>
    <x v="1"/>
    <s v="Loughrea"/>
    <s v="Ara"/>
    <s v="M"/>
    <x v="1"/>
    <n v="6.75"/>
    <n v="33.75"/>
    <n v="0.60749999999999993"/>
    <n v="3.0374999999999996"/>
    <x v="2"/>
    <x v="0"/>
    <x v="1"/>
  </r>
  <r>
    <s v="QYC-63914-195"/>
    <x v="449"/>
    <s v="39789-43945-IV"/>
    <s v="E-L-1"/>
    <x v="33"/>
    <n v="3"/>
    <x v="534"/>
    <s v="rkirtleyg4@hatena.ne.jp"/>
    <x v="0"/>
    <s v="Whittier"/>
    <s v="Exc"/>
    <s v="L"/>
    <x v="0"/>
    <n v="14.85"/>
    <n v="44.55"/>
    <n v="1.6335"/>
    <n v="4.9005000000000001"/>
    <x v="1"/>
    <x v="1"/>
    <x v="0"/>
  </r>
  <r>
    <s v="OIB-77163-890"/>
    <x v="450"/>
    <s v="38972-89678-ZM"/>
    <s v="E-L-0.5"/>
    <x v="38"/>
    <n v="5"/>
    <x v="535"/>
    <s v="cclemencetg5@weather.com"/>
    <x v="2"/>
    <s v="Birmingham"/>
    <s v="Exc"/>
    <s v="L"/>
    <x v="1"/>
    <n v="8.91"/>
    <n v="44.55"/>
    <n v="0.98009999999999997"/>
    <n v="4.9005000000000001"/>
    <x v="1"/>
    <x v="1"/>
    <x v="0"/>
  </r>
  <r>
    <s v="SGS-87525-238"/>
    <x v="451"/>
    <s v="91465-84526-IJ"/>
    <s v="E-D-1"/>
    <x v="45"/>
    <n v="5"/>
    <x v="536"/>
    <s v="rdonetg6@oakley.com"/>
    <x v="0"/>
    <s v="Richmond"/>
    <s v="Exc"/>
    <s v="D"/>
    <x v="0"/>
    <n v="12.15"/>
    <n v="60.75"/>
    <n v="1.3365"/>
    <n v="6.6825000000000001"/>
    <x v="1"/>
    <x v="2"/>
    <x v="1"/>
  </r>
  <r>
    <s v="GQR-12490-152"/>
    <x v="83"/>
    <s v="22832-98538-RB"/>
    <s v="R-L-0.2"/>
    <x v="40"/>
    <n v="1"/>
    <x v="537"/>
    <s v="sgaweng7@creativecommons.org"/>
    <x v="0"/>
    <s v="Sterling"/>
    <s v="Rob"/>
    <s v="L"/>
    <x v="3"/>
    <n v="3.5849999999999995"/>
    <n v="3.5849999999999995"/>
    <n v="0.21509999999999996"/>
    <n v="0.21509999999999996"/>
    <x v="0"/>
    <x v="1"/>
    <x v="0"/>
  </r>
  <r>
    <s v="UOJ-28238-299"/>
    <x v="452"/>
    <s v="30844-91890-ZA"/>
    <s v="R-L-0.2"/>
    <x v="40"/>
    <n v="6"/>
    <x v="538"/>
    <s v="rreadieg8@guardian.co.uk"/>
    <x v="0"/>
    <s v="Carson City"/>
    <s v="Rob"/>
    <s v="L"/>
    <x v="3"/>
    <n v="3.5849999999999995"/>
    <n v="21.509999999999998"/>
    <n v="0.21509999999999996"/>
    <n v="1.2905999999999997"/>
    <x v="0"/>
    <x v="1"/>
    <x v="1"/>
  </r>
  <r>
    <s v="ETD-58130-674"/>
    <x v="453"/>
    <s v="05325-97750-WP"/>
    <s v="E-M-0.5"/>
    <x v="1"/>
    <n v="2"/>
    <x v="539"/>
    <s v="cverissimogh@theglobeandmail.com"/>
    <x v="2"/>
    <s v="Upton"/>
    <s v="Exc"/>
    <s v="M"/>
    <x v="1"/>
    <n v="8.25"/>
    <n v="16.5"/>
    <n v="0.90749999999999997"/>
    <n v="1.8149999999999999"/>
    <x v="1"/>
    <x v="0"/>
    <x v="0"/>
  </r>
  <r>
    <s v="UPF-60123-025"/>
    <x v="454"/>
    <s v="88992-49081-AT"/>
    <s v="R-L-2.5"/>
    <x v="4"/>
    <n v="3"/>
    <x v="540"/>
    <s v=""/>
    <x v="0"/>
    <s v="Saint Paul"/>
    <s v="Rob"/>
    <s v="L"/>
    <x v="2"/>
    <n v="27.484999999999996"/>
    <n v="82.454999999999984"/>
    <n v="1.6490999999999998"/>
    <n v="4.9472999999999994"/>
    <x v="0"/>
    <x v="1"/>
    <x v="1"/>
  </r>
  <r>
    <s v="NQS-01613-687"/>
    <x v="455"/>
    <s v="10204-31464-SA"/>
    <s v="L-D-0.5"/>
    <x v="31"/>
    <n v="1"/>
    <x v="541"/>
    <s v="bogb@elpais.com"/>
    <x v="0"/>
    <s v="Huntsville"/>
    <s v="Lib"/>
    <s v="D"/>
    <x v="1"/>
    <n v="7.77"/>
    <n v="7.77"/>
    <n v="1.0101"/>
    <n v="1.0101"/>
    <x v="3"/>
    <x v="2"/>
    <x v="0"/>
  </r>
  <r>
    <s v="MGH-36050-573"/>
    <x v="456"/>
    <s v="75156-80911-YT"/>
    <s v="R-M-0.5"/>
    <x v="8"/>
    <n v="2"/>
    <x v="542"/>
    <s v="vstansburygc@unblog.fr"/>
    <x v="0"/>
    <s v="El Paso"/>
    <s v="Rob"/>
    <s v="M"/>
    <x v="1"/>
    <n v="5.97"/>
    <n v="11.94"/>
    <n v="0.35819999999999996"/>
    <n v="0.71639999999999993"/>
    <x v="0"/>
    <x v="0"/>
    <x v="0"/>
  </r>
  <r>
    <s v="UVF-59322-459"/>
    <x v="373"/>
    <s v="53971-49906-PZ"/>
    <s v="E-L-2.5"/>
    <x v="10"/>
    <n v="6"/>
    <x v="543"/>
    <s v="dheinonengd@printfriendly.com"/>
    <x v="0"/>
    <s v="Decatur"/>
    <s v="Exc"/>
    <s v="L"/>
    <x v="2"/>
    <n v="34.154999999999994"/>
    <n v="204.92999999999995"/>
    <n v="3.7570499999999996"/>
    <n v="22.542299999999997"/>
    <x v="1"/>
    <x v="1"/>
    <x v="1"/>
  </r>
  <r>
    <s v="VET-41158-896"/>
    <x v="457"/>
    <s v="10728-17633-ST"/>
    <s v="E-M-2.5"/>
    <x v="28"/>
    <n v="2"/>
    <x v="544"/>
    <s v="jshentonge@google.com.hk"/>
    <x v="0"/>
    <s v="Orange"/>
    <s v="Exc"/>
    <s v="M"/>
    <x v="2"/>
    <n v="31.624999999999996"/>
    <n v="63.249999999999993"/>
    <n v="3.4787499999999998"/>
    <n v="6.9574999999999996"/>
    <x v="1"/>
    <x v="0"/>
    <x v="0"/>
  </r>
  <r>
    <s v="XYL-52196-459"/>
    <x v="458"/>
    <s v="13549-65017-VE"/>
    <s v="R-D-0.2"/>
    <x v="25"/>
    <n v="3"/>
    <x v="545"/>
    <s v="jwilkissongf@nba.com"/>
    <x v="0"/>
    <s v="Huntington Beach"/>
    <s v="Rob"/>
    <s v="D"/>
    <x v="3"/>
    <n v="2.6849999999999996"/>
    <n v="8.0549999999999997"/>
    <n v="0.16109999999999997"/>
    <n v="0.4832999999999999"/>
    <x v="0"/>
    <x v="2"/>
    <x v="0"/>
  </r>
  <r>
    <s v="BPZ-51283-916"/>
    <x v="264"/>
    <s v="87688-42420-TO"/>
    <s v="A-M-2.5"/>
    <x v="37"/>
    <n v="2"/>
    <x v="546"/>
    <s v=""/>
    <x v="0"/>
    <s v="Milwaukee"/>
    <s v="Ara"/>
    <s v="M"/>
    <x v="2"/>
    <n v="25.874999999999996"/>
    <n v="51.749999999999993"/>
    <n v="2.3287499999999994"/>
    <n v="4.6574999999999989"/>
    <x v="2"/>
    <x v="0"/>
    <x v="1"/>
  </r>
  <r>
    <s v="VQW-91903-926"/>
    <x v="459"/>
    <s v="05325-97750-WP"/>
    <s v="E-D-2.5"/>
    <x v="47"/>
    <n v="1"/>
    <x v="539"/>
    <s v="cverissimogh@theglobeandmail.com"/>
    <x v="2"/>
    <s v="Upton"/>
    <s v="Exc"/>
    <s v="D"/>
    <x v="2"/>
    <n v="27.945"/>
    <n v="27.945"/>
    <n v="3.07395"/>
    <n v="3.07395"/>
    <x v="1"/>
    <x v="2"/>
    <x v="0"/>
  </r>
  <r>
    <s v="OLF-77983-457"/>
    <x v="460"/>
    <s v="51901-35210-UI"/>
    <s v="A-L-2.5"/>
    <x v="44"/>
    <n v="2"/>
    <x v="547"/>
    <s v="gstarcksgi@abc.net.au"/>
    <x v="0"/>
    <s v="Chattanooga"/>
    <s v="Ara"/>
    <s v="L"/>
    <x v="2"/>
    <n v="29.784999999999997"/>
    <n v="59.569999999999993"/>
    <n v="2.6806499999999995"/>
    <n v="5.3612999999999991"/>
    <x v="2"/>
    <x v="1"/>
    <x v="1"/>
  </r>
  <r>
    <s v="MVI-04946-827"/>
    <x v="461"/>
    <s v="62483-50867-OM"/>
    <s v="E-L-1"/>
    <x v="33"/>
    <n v="1"/>
    <x v="548"/>
    <s v=""/>
    <x v="2"/>
    <s v="Manchester"/>
    <s v="Exc"/>
    <s v="L"/>
    <x v="0"/>
    <n v="14.85"/>
    <n v="14.85"/>
    <n v="1.6335"/>
    <n v="1.6335"/>
    <x v="1"/>
    <x v="1"/>
    <x v="1"/>
  </r>
  <r>
    <s v="UOG-94188-104"/>
    <x v="219"/>
    <s v="92753-50029-SD"/>
    <s v="A-M-0.5"/>
    <x v="19"/>
    <n v="5"/>
    <x v="549"/>
    <s v="kscholardgk@sbwire.com"/>
    <x v="0"/>
    <s v="Columbus"/>
    <s v="Ara"/>
    <s v="M"/>
    <x v="1"/>
    <n v="6.75"/>
    <n v="33.75"/>
    <n v="0.60749999999999993"/>
    <n v="3.0374999999999996"/>
    <x v="2"/>
    <x v="0"/>
    <x v="1"/>
  </r>
  <r>
    <s v="DSN-15872-519"/>
    <x v="462"/>
    <s v="53809-98498-SN"/>
    <s v="L-L-2.5"/>
    <x v="26"/>
    <n v="4"/>
    <x v="550"/>
    <s v="bkindleygl@wikimedia.org"/>
    <x v="0"/>
    <s v="Pasadena"/>
    <s v="Lib"/>
    <s v="L"/>
    <x v="2"/>
    <n v="36.454999999999998"/>
    <n v="145.82"/>
    <n v="4.7391499999999995"/>
    <n v="18.956599999999998"/>
    <x v="3"/>
    <x v="1"/>
    <x v="0"/>
  </r>
  <r>
    <s v="OUQ-73954-002"/>
    <x v="463"/>
    <s v="66308-13503-KD"/>
    <s v="R-M-0.2"/>
    <x v="36"/>
    <n v="4"/>
    <x v="551"/>
    <s v="khammettgm@dmoz.org"/>
    <x v="0"/>
    <s v="San Francisco"/>
    <s v="Rob"/>
    <s v="M"/>
    <x v="3"/>
    <n v="2.9849999999999999"/>
    <n v="11.94"/>
    <n v="0.17909999999999998"/>
    <n v="0.71639999999999993"/>
    <x v="0"/>
    <x v="0"/>
    <x v="0"/>
  </r>
  <r>
    <s v="LGL-16843-667"/>
    <x v="464"/>
    <s v="82458-87830-JE"/>
    <s v="A-D-0.2"/>
    <x v="16"/>
    <n v="4"/>
    <x v="552"/>
    <s v="ahulburtgn@fda.gov"/>
    <x v="0"/>
    <s v="Shreveport"/>
    <s v="Ara"/>
    <s v="D"/>
    <x v="3"/>
    <n v="2.9849999999999999"/>
    <n v="11.94"/>
    <n v="0.26865"/>
    <n v="1.0746"/>
    <x v="2"/>
    <x v="2"/>
    <x v="0"/>
  </r>
  <r>
    <s v="TCC-89722-031"/>
    <x v="465"/>
    <s v="41611-34336-WT"/>
    <s v="L-D-0.5"/>
    <x v="31"/>
    <n v="1"/>
    <x v="553"/>
    <s v="plauritzengo@photobucket.com"/>
    <x v="0"/>
    <s v="Philadelphia"/>
    <s v="Lib"/>
    <s v="D"/>
    <x v="1"/>
    <n v="7.77"/>
    <n v="7.77"/>
    <n v="1.0101"/>
    <n v="1.0101"/>
    <x v="3"/>
    <x v="2"/>
    <x v="1"/>
  </r>
  <r>
    <s v="TRA-79507-007"/>
    <x v="466"/>
    <s v="70089-27418-UJ"/>
    <s v="R-L-2.5"/>
    <x v="4"/>
    <n v="4"/>
    <x v="554"/>
    <s v="aburgwingp@redcross.org"/>
    <x v="0"/>
    <s v="Migrate"/>
    <s v="Rob"/>
    <s v="L"/>
    <x v="2"/>
    <n v="27.484999999999996"/>
    <n v="109.93999999999998"/>
    <n v="1.6490999999999998"/>
    <n v="6.5963999999999992"/>
    <x v="0"/>
    <x v="1"/>
    <x v="0"/>
  </r>
  <r>
    <s v="MZJ-77284-941"/>
    <x v="467"/>
    <s v="99978-56910-BN"/>
    <s v="E-L-0.2"/>
    <x v="46"/>
    <n v="5"/>
    <x v="555"/>
    <s v="erolingq@google.fr"/>
    <x v="0"/>
    <s v="Toledo"/>
    <s v="Exc"/>
    <s v="L"/>
    <x v="3"/>
    <n v="4.4550000000000001"/>
    <n v="22.274999999999999"/>
    <n v="0.49004999999999999"/>
    <n v="2.45025"/>
    <x v="1"/>
    <x v="1"/>
    <x v="0"/>
  </r>
  <r>
    <s v="AXN-57779-891"/>
    <x v="468"/>
    <s v="09668-23340-IC"/>
    <s v="R-M-0.2"/>
    <x v="36"/>
    <n v="3"/>
    <x v="556"/>
    <s v="dfowlegr@epa.gov"/>
    <x v="0"/>
    <s v="Colorado Springs"/>
    <s v="Rob"/>
    <s v="M"/>
    <x v="3"/>
    <n v="2.9849999999999999"/>
    <n v="8.9550000000000001"/>
    <n v="0.17909999999999998"/>
    <n v="0.53729999999999989"/>
    <x v="0"/>
    <x v="0"/>
    <x v="1"/>
  </r>
  <r>
    <s v="PJB-15659-994"/>
    <x v="469"/>
    <s v="39457-62611-YK"/>
    <s v="L-D-2.5"/>
    <x v="27"/>
    <n v="4"/>
    <x v="557"/>
    <s v=""/>
    <x v="1"/>
    <s v="Longwood"/>
    <s v="Lib"/>
    <s v="D"/>
    <x v="2"/>
    <n v="29.784999999999997"/>
    <n v="119.13999999999999"/>
    <n v="3.8720499999999998"/>
    <n v="15.488199999999999"/>
    <x v="3"/>
    <x v="2"/>
    <x v="1"/>
  </r>
  <r>
    <s v="LTS-03470-353"/>
    <x v="470"/>
    <s v="90985-89807-RW"/>
    <s v="A-L-2.5"/>
    <x v="44"/>
    <n v="5"/>
    <x v="558"/>
    <s v="wpowleslandgt@soundcloud.com"/>
    <x v="0"/>
    <s v="Pittsburgh"/>
    <s v="Ara"/>
    <s v="L"/>
    <x v="2"/>
    <n v="29.784999999999997"/>
    <n v="148.92499999999998"/>
    <n v="2.6806499999999995"/>
    <n v="13.403249999999998"/>
    <x v="2"/>
    <x v="1"/>
    <x v="0"/>
  </r>
  <r>
    <s v="UMM-28497-689"/>
    <x v="471"/>
    <s v="05325-97750-WP"/>
    <s v="L-L-2.5"/>
    <x v="26"/>
    <n v="3"/>
    <x v="539"/>
    <s v="cverissimogh@theglobeandmail.com"/>
    <x v="2"/>
    <s v="Upton"/>
    <s v="Lib"/>
    <s v="L"/>
    <x v="2"/>
    <n v="36.454999999999998"/>
    <n v="109.36499999999999"/>
    <n v="4.7391499999999995"/>
    <n v="14.217449999999999"/>
    <x v="3"/>
    <x v="1"/>
    <x v="0"/>
  </r>
  <r>
    <s v="MJZ-93232-402"/>
    <x v="472"/>
    <s v="17816-67941-ZS"/>
    <s v="E-D-0.2"/>
    <x v="15"/>
    <n v="1"/>
    <x v="559"/>
    <s v="lellinghamgv@sciencedaily.com"/>
    <x v="0"/>
    <s v="Shreveport"/>
    <s v="Exc"/>
    <s v="D"/>
    <x v="3"/>
    <n v="3.645"/>
    <n v="3.645"/>
    <n v="0.40095000000000003"/>
    <n v="0.40095000000000003"/>
    <x v="1"/>
    <x v="2"/>
    <x v="0"/>
  </r>
  <r>
    <s v="UHW-74617-126"/>
    <x v="173"/>
    <s v="90816-65619-LM"/>
    <s v="E-D-2.5"/>
    <x v="47"/>
    <n v="2"/>
    <x v="560"/>
    <s v=""/>
    <x v="0"/>
    <s v="Cleveland"/>
    <s v="Exc"/>
    <s v="D"/>
    <x v="2"/>
    <n v="27.945"/>
    <n v="55.89"/>
    <n v="3.07395"/>
    <n v="6.1478999999999999"/>
    <x v="1"/>
    <x v="2"/>
    <x v="1"/>
  </r>
  <r>
    <s v="RIK-61730-794"/>
    <x v="473"/>
    <s v="69761-61146-KD"/>
    <s v="L-M-0.2"/>
    <x v="21"/>
    <n v="6"/>
    <x v="561"/>
    <s v="afendtgx@forbes.com"/>
    <x v="0"/>
    <s v="Milwaukee"/>
    <s v="Lib"/>
    <s v="M"/>
    <x v="3"/>
    <n v="4.3650000000000002"/>
    <n v="26.19"/>
    <n v="0.56745000000000001"/>
    <n v="3.4047000000000001"/>
    <x v="3"/>
    <x v="0"/>
    <x v="0"/>
  </r>
  <r>
    <s v="IDJ-55379-750"/>
    <x v="474"/>
    <s v="24040-20817-QB"/>
    <s v="R-M-1"/>
    <x v="0"/>
    <n v="4"/>
    <x v="562"/>
    <s v="acleyburngy@lycos.com"/>
    <x v="0"/>
    <s v="Fort Lauderdale"/>
    <s v="Rob"/>
    <s v="M"/>
    <x v="0"/>
    <n v="9.9499999999999993"/>
    <n v="39.799999999999997"/>
    <n v="0.59699999999999998"/>
    <n v="2.3879999999999999"/>
    <x v="0"/>
    <x v="0"/>
    <x v="1"/>
  </r>
  <r>
    <s v="OHX-11953-965"/>
    <x v="475"/>
    <s v="19524-21432-XP"/>
    <s v="E-L-2.5"/>
    <x v="10"/>
    <n v="2"/>
    <x v="563"/>
    <s v="tcastiglionegz@xing.com"/>
    <x v="0"/>
    <s v="Shreveport"/>
    <s v="Exc"/>
    <s v="L"/>
    <x v="2"/>
    <n v="34.154999999999994"/>
    <n v="68.309999999999988"/>
    <n v="3.7570499999999996"/>
    <n v="7.5140999999999991"/>
    <x v="1"/>
    <x v="1"/>
    <x v="1"/>
  </r>
  <r>
    <s v="TVV-42245-088"/>
    <x v="476"/>
    <s v="14398-43114-RV"/>
    <s v="A-M-0.2"/>
    <x v="14"/>
    <n v="4"/>
    <x v="564"/>
    <s v=""/>
    <x v="1"/>
    <s v="Beaumont"/>
    <s v="Ara"/>
    <s v="M"/>
    <x v="3"/>
    <n v="3.375"/>
    <n v="13.5"/>
    <n v="0.30374999999999996"/>
    <n v="1.2149999999999999"/>
    <x v="2"/>
    <x v="0"/>
    <x v="1"/>
  </r>
  <r>
    <s v="DYP-74337-787"/>
    <x v="431"/>
    <s v="41486-52502-QQ"/>
    <s v="R-M-0.5"/>
    <x v="8"/>
    <n v="1"/>
    <x v="565"/>
    <s v=""/>
    <x v="0"/>
    <s v="Sacramento"/>
    <s v="Rob"/>
    <s v="M"/>
    <x v="1"/>
    <n v="5.97"/>
    <n v="5.97"/>
    <n v="0.35819999999999996"/>
    <n v="0.35819999999999996"/>
    <x v="0"/>
    <x v="0"/>
    <x v="1"/>
  </r>
  <r>
    <s v="OKA-93124-100"/>
    <x v="477"/>
    <s v="05325-97750-WP"/>
    <s v="R-M-0.5"/>
    <x v="8"/>
    <n v="5"/>
    <x v="539"/>
    <s v="cverissimogh@theglobeandmail.com"/>
    <x v="2"/>
    <s v="Upton"/>
    <s v="Rob"/>
    <s v="M"/>
    <x v="1"/>
    <n v="5.97"/>
    <n v="29.849999999999998"/>
    <n v="0.35819999999999996"/>
    <n v="1.7909999999999999"/>
    <x v="0"/>
    <x v="0"/>
    <x v="0"/>
  </r>
  <r>
    <s v="IXW-20780-268"/>
    <x v="478"/>
    <s v="20236-64364-QL"/>
    <s v="L-L-2.5"/>
    <x v="26"/>
    <n v="2"/>
    <x v="566"/>
    <s v="scouronneh3@mozilla.org"/>
    <x v="0"/>
    <s v="Fargo"/>
    <s v="Lib"/>
    <s v="L"/>
    <x v="2"/>
    <n v="36.454999999999998"/>
    <n v="72.91"/>
    <n v="4.7391499999999995"/>
    <n v="9.4782999999999991"/>
    <x v="3"/>
    <x v="1"/>
    <x v="0"/>
  </r>
  <r>
    <s v="NGG-24006-937"/>
    <x v="45"/>
    <s v="29102-40100-TZ"/>
    <s v="E-M-2.5"/>
    <x v="28"/>
    <n v="4"/>
    <x v="567"/>
    <s v="lflippellih4@github.io"/>
    <x v="2"/>
    <s v="Middleton"/>
    <s v="Exc"/>
    <s v="M"/>
    <x v="2"/>
    <n v="31.624999999999996"/>
    <n v="126.49999999999999"/>
    <n v="3.4787499999999998"/>
    <n v="13.914999999999999"/>
    <x v="1"/>
    <x v="0"/>
    <x v="1"/>
  </r>
  <r>
    <s v="JZC-31180-557"/>
    <x v="444"/>
    <s v="09171-42203-EB"/>
    <s v="L-M-2.5"/>
    <x v="43"/>
    <n v="1"/>
    <x v="568"/>
    <s v="relizabethh5@live.com"/>
    <x v="0"/>
    <s v="Tulsa"/>
    <s v="Lib"/>
    <s v="M"/>
    <x v="2"/>
    <n v="33.464999999999996"/>
    <n v="33.464999999999996"/>
    <n v="4.3504499999999995"/>
    <n v="4.3504499999999995"/>
    <x v="3"/>
    <x v="0"/>
    <x v="1"/>
  </r>
  <r>
    <s v="ZMU-63715-204"/>
    <x v="479"/>
    <s v="29060-75856-UI"/>
    <s v="E-D-1"/>
    <x v="45"/>
    <n v="6"/>
    <x v="569"/>
    <s v="irenhardh6@i2i.jp"/>
    <x v="0"/>
    <s v="New York City"/>
    <s v="Exc"/>
    <s v="D"/>
    <x v="0"/>
    <n v="12.15"/>
    <n v="72.900000000000006"/>
    <n v="1.3365"/>
    <n v="8.0190000000000001"/>
    <x v="1"/>
    <x v="2"/>
    <x v="0"/>
  </r>
  <r>
    <s v="GND-08192-056"/>
    <x v="480"/>
    <s v="17088-16989-PL"/>
    <s v="L-D-0.5"/>
    <x v="31"/>
    <n v="2"/>
    <x v="570"/>
    <s v="wrocheh7@xinhuanet.com"/>
    <x v="0"/>
    <s v="Seminole"/>
    <s v="Lib"/>
    <s v="D"/>
    <x v="1"/>
    <n v="7.77"/>
    <n v="15.54"/>
    <n v="1.0101"/>
    <n v="2.0202"/>
    <x v="3"/>
    <x v="2"/>
    <x v="0"/>
  </r>
  <r>
    <s v="RYY-38961-093"/>
    <x v="481"/>
    <s v="14756-18321-CL"/>
    <s v="A-M-0.2"/>
    <x v="14"/>
    <n v="6"/>
    <x v="571"/>
    <s v="lalawayhh@weather.com"/>
    <x v="0"/>
    <s v="Fort Lauderdale"/>
    <s v="Ara"/>
    <s v="M"/>
    <x v="3"/>
    <n v="3.375"/>
    <n v="20.25"/>
    <n v="0.30374999999999996"/>
    <n v="1.8224999999999998"/>
    <x v="2"/>
    <x v="0"/>
    <x v="1"/>
  </r>
  <r>
    <s v="CVA-64996-969"/>
    <x v="478"/>
    <s v="13324-78688-MI"/>
    <s v="A-L-1"/>
    <x v="2"/>
    <n v="6"/>
    <x v="572"/>
    <s v="codgaardh9@nsw.gov.au"/>
    <x v="0"/>
    <s v="Portland"/>
    <s v="Ara"/>
    <s v="L"/>
    <x v="0"/>
    <n v="12.95"/>
    <n v="77.699999999999989"/>
    <n v="1.1655"/>
    <n v="6.9930000000000003"/>
    <x v="2"/>
    <x v="1"/>
    <x v="1"/>
  </r>
  <r>
    <s v="XTH-67276-442"/>
    <x v="482"/>
    <s v="73799-04749-BM"/>
    <s v="L-M-2.5"/>
    <x v="43"/>
    <n v="4"/>
    <x v="573"/>
    <s v="bbyrdha@4shared.com"/>
    <x v="0"/>
    <s v="Las Vegas"/>
    <s v="Lib"/>
    <s v="M"/>
    <x v="2"/>
    <n v="33.464999999999996"/>
    <n v="133.85999999999999"/>
    <n v="4.3504499999999995"/>
    <n v="17.401799999999998"/>
    <x v="3"/>
    <x v="0"/>
    <x v="1"/>
  </r>
  <r>
    <s v="PVU-02950-470"/>
    <x v="353"/>
    <s v="01927-46702-YT"/>
    <s v="E-D-1"/>
    <x v="45"/>
    <n v="1"/>
    <x v="574"/>
    <s v=""/>
    <x v="2"/>
    <s v="Merton"/>
    <s v="Exc"/>
    <s v="D"/>
    <x v="0"/>
    <n v="12.15"/>
    <n v="12.15"/>
    <n v="1.3365"/>
    <n v="1.3365"/>
    <x v="1"/>
    <x v="2"/>
    <x v="1"/>
  </r>
  <r>
    <s v="XSN-26809-910"/>
    <x v="199"/>
    <s v="80467-17137-TO"/>
    <s v="E-M-2.5"/>
    <x v="28"/>
    <n v="2"/>
    <x v="575"/>
    <s v="dchardinhc@nhs.uk"/>
    <x v="1"/>
    <s v="Ballybofey"/>
    <s v="Exc"/>
    <s v="M"/>
    <x v="2"/>
    <n v="31.624999999999996"/>
    <n v="63.249999999999993"/>
    <n v="3.4787499999999998"/>
    <n v="6.9574999999999996"/>
    <x v="1"/>
    <x v="0"/>
    <x v="0"/>
  </r>
  <r>
    <s v="UDN-88321-005"/>
    <x v="372"/>
    <s v="14640-87215-BK"/>
    <s v="R-L-0.5"/>
    <x v="35"/>
    <n v="5"/>
    <x v="576"/>
    <s v="hradbonehd@newsvine.com"/>
    <x v="0"/>
    <s v="San Francisco"/>
    <s v="Rob"/>
    <s v="L"/>
    <x v="1"/>
    <n v="7.169999999999999"/>
    <n v="35.849999999999994"/>
    <n v="0.43019999999999992"/>
    <n v="2.1509999999999998"/>
    <x v="0"/>
    <x v="1"/>
    <x v="1"/>
  </r>
  <r>
    <s v="EXP-21628-670"/>
    <x v="267"/>
    <s v="94447-35885-HK"/>
    <s v="A-M-2.5"/>
    <x v="37"/>
    <n v="3"/>
    <x v="577"/>
    <s v="wbernthhe@miitbeian.gov.cn"/>
    <x v="0"/>
    <s v="Pittsburgh"/>
    <s v="Ara"/>
    <s v="M"/>
    <x v="2"/>
    <n v="25.874999999999996"/>
    <n v="77.624999999999986"/>
    <n v="2.3287499999999994"/>
    <n v="6.9862499999999983"/>
    <x v="2"/>
    <x v="0"/>
    <x v="1"/>
  </r>
  <r>
    <s v="VGM-24161-361"/>
    <x v="480"/>
    <s v="71034-49694-CS"/>
    <s v="E-M-2.5"/>
    <x v="28"/>
    <n v="2"/>
    <x v="578"/>
    <s v="bacarsonhf@cnn.com"/>
    <x v="0"/>
    <s v="Houston"/>
    <s v="Exc"/>
    <s v="M"/>
    <x v="2"/>
    <n v="31.624999999999996"/>
    <n v="63.249999999999993"/>
    <n v="3.4787499999999998"/>
    <n v="6.9574999999999996"/>
    <x v="1"/>
    <x v="0"/>
    <x v="0"/>
  </r>
  <r>
    <s v="PKN-19556-918"/>
    <x v="483"/>
    <s v="00445-42781-KX"/>
    <s v="E-L-0.2"/>
    <x v="46"/>
    <n v="6"/>
    <x v="579"/>
    <s v="fbrighamhg@blog.com"/>
    <x v="1"/>
    <s v="Castlerea"/>
    <s v="Exc"/>
    <s v="L"/>
    <x v="3"/>
    <n v="4.4550000000000001"/>
    <n v="26.73"/>
    <n v="0.49004999999999999"/>
    <n v="2.9402999999999997"/>
    <x v="1"/>
    <x v="1"/>
    <x v="0"/>
  </r>
  <r>
    <s v="PKN-19556-918"/>
    <x v="483"/>
    <s v="00445-42781-KX"/>
    <s v="L-D-0.5"/>
    <x v="31"/>
    <n v="4"/>
    <x v="579"/>
    <s v="fbrighamhg@blog.com"/>
    <x v="1"/>
    <s v="Castlerea"/>
    <s v="Lib"/>
    <s v="D"/>
    <x v="1"/>
    <n v="7.77"/>
    <n v="31.08"/>
    <n v="1.0101"/>
    <n v="4.0404"/>
    <x v="3"/>
    <x v="2"/>
    <x v="0"/>
  </r>
  <r>
    <s v="PKN-19556-918"/>
    <x v="483"/>
    <s v="00445-42781-KX"/>
    <s v="A-D-0.2"/>
    <x v="16"/>
    <n v="1"/>
    <x v="579"/>
    <s v="fbrighamhg@blog.com"/>
    <x v="1"/>
    <s v="Castlerea"/>
    <s v="Ara"/>
    <s v="D"/>
    <x v="3"/>
    <n v="2.9849999999999999"/>
    <n v="2.9849999999999999"/>
    <n v="0.26865"/>
    <n v="0.26865"/>
    <x v="2"/>
    <x v="2"/>
    <x v="0"/>
  </r>
  <r>
    <s v="PKN-19556-918"/>
    <x v="483"/>
    <s v="00445-42781-KX"/>
    <s v="R-D-2.5"/>
    <x v="11"/>
    <n v="5"/>
    <x v="579"/>
    <s v="fbrighamhg@blog.com"/>
    <x v="1"/>
    <s v="Castlerea"/>
    <s v="Rob"/>
    <s v="D"/>
    <x v="2"/>
    <n v="20.584999999999997"/>
    <n v="102.92499999999998"/>
    <n v="1.2350999999999999"/>
    <n v="6.1754999999999995"/>
    <x v="0"/>
    <x v="2"/>
    <x v="0"/>
  </r>
  <r>
    <s v="DXQ-44537-297"/>
    <x v="484"/>
    <s v="96116-24737-LV"/>
    <s v="E-L-0.5"/>
    <x v="38"/>
    <n v="4"/>
    <x v="580"/>
    <s v="myoxenhk@google.com"/>
    <x v="0"/>
    <s v="Los Angeles"/>
    <s v="Exc"/>
    <s v="L"/>
    <x v="1"/>
    <n v="8.91"/>
    <n v="35.64"/>
    <n v="0.98009999999999997"/>
    <n v="3.9203999999999999"/>
    <x v="1"/>
    <x v="1"/>
    <x v="1"/>
  </r>
  <r>
    <s v="BPC-54727-307"/>
    <x v="485"/>
    <s v="18684-73088-YL"/>
    <s v="R-L-1"/>
    <x v="41"/>
    <n v="4"/>
    <x v="581"/>
    <s v="gmcgavinhl@histats.com"/>
    <x v="0"/>
    <s v="Wilkes Barre"/>
    <s v="Rob"/>
    <s v="L"/>
    <x v="0"/>
    <n v="11.95"/>
    <n v="47.8"/>
    <n v="0.71699999999999997"/>
    <n v="2.8679999999999999"/>
    <x v="0"/>
    <x v="1"/>
    <x v="1"/>
  </r>
  <r>
    <s v="KSH-47717-456"/>
    <x v="486"/>
    <s v="74671-55639-TU"/>
    <s v="L-M-1"/>
    <x v="24"/>
    <n v="3"/>
    <x v="582"/>
    <s v="luttermarehm@engadget.com"/>
    <x v="0"/>
    <s v="Denton"/>
    <s v="Lib"/>
    <s v="M"/>
    <x v="0"/>
    <n v="14.55"/>
    <n v="43.650000000000006"/>
    <n v="1.8915000000000002"/>
    <n v="5.6745000000000001"/>
    <x v="3"/>
    <x v="0"/>
    <x v="1"/>
  </r>
  <r>
    <s v="ANK-59436-446"/>
    <x v="487"/>
    <s v="17488-65879-XL"/>
    <s v="E-L-0.5"/>
    <x v="38"/>
    <n v="4"/>
    <x v="583"/>
    <s v="edambrogiohn@techcrunch.com"/>
    <x v="0"/>
    <s v="Lees Summit"/>
    <s v="Exc"/>
    <s v="L"/>
    <x v="1"/>
    <n v="8.91"/>
    <n v="35.64"/>
    <n v="0.98009999999999997"/>
    <n v="3.9203999999999999"/>
    <x v="1"/>
    <x v="1"/>
    <x v="0"/>
  </r>
  <r>
    <s v="AYY-83051-752"/>
    <x v="488"/>
    <s v="46431-09298-OU"/>
    <s v="L-L-1"/>
    <x v="32"/>
    <n v="6"/>
    <x v="584"/>
    <s v="cwinchcombeho@jiathis.com"/>
    <x v="0"/>
    <s v="Little Rock"/>
    <s v="Lib"/>
    <s v="L"/>
    <x v="0"/>
    <n v="15.85"/>
    <n v="95.1"/>
    <n v="2.0605000000000002"/>
    <n v="12.363000000000001"/>
    <x v="3"/>
    <x v="1"/>
    <x v="0"/>
  </r>
  <r>
    <s v="CSW-59644-267"/>
    <x v="489"/>
    <s v="60378-26473-FE"/>
    <s v="E-M-2.5"/>
    <x v="28"/>
    <n v="1"/>
    <x v="585"/>
    <s v="bpaumierhp@umn.edu"/>
    <x v="1"/>
    <s v="Ballisodare"/>
    <s v="Exc"/>
    <s v="M"/>
    <x v="2"/>
    <n v="31.624999999999996"/>
    <n v="31.624999999999996"/>
    <n v="3.4787499999999998"/>
    <n v="3.4787499999999998"/>
    <x v="1"/>
    <x v="0"/>
    <x v="0"/>
  </r>
  <r>
    <s v="ITY-92466-909"/>
    <x v="162"/>
    <s v="34927-68586-ZV"/>
    <s v="A-M-2.5"/>
    <x v="37"/>
    <n v="3"/>
    <x v="586"/>
    <s v=""/>
    <x v="1"/>
    <s v="Daingean"/>
    <s v="Ara"/>
    <s v="M"/>
    <x v="2"/>
    <n v="25.874999999999996"/>
    <n v="77.624999999999986"/>
    <n v="2.3287499999999994"/>
    <n v="6.9862499999999983"/>
    <x v="2"/>
    <x v="0"/>
    <x v="0"/>
  </r>
  <r>
    <s v="IGW-04801-466"/>
    <x v="490"/>
    <s v="29051-27555-GD"/>
    <s v="L-D-0.2"/>
    <x v="12"/>
    <n v="1"/>
    <x v="587"/>
    <s v="jcapeyhr@bravesites.com"/>
    <x v="0"/>
    <s v="Erie"/>
    <s v="Lib"/>
    <s v="D"/>
    <x v="3"/>
    <n v="3.8849999999999998"/>
    <n v="3.8849999999999998"/>
    <n v="0.50505"/>
    <n v="0.50505"/>
    <x v="3"/>
    <x v="2"/>
    <x v="0"/>
  </r>
  <r>
    <s v="LJN-34281-921"/>
    <x v="491"/>
    <s v="52143-35672-JF"/>
    <s v="R-L-2.5"/>
    <x v="4"/>
    <n v="5"/>
    <x v="588"/>
    <s v="tmathonneti0@google.co.jp"/>
    <x v="0"/>
    <s v="Columbus"/>
    <s v="Rob"/>
    <s v="L"/>
    <x v="2"/>
    <n v="27.484999999999996"/>
    <n v="137.42499999999998"/>
    <n v="1.6490999999999998"/>
    <n v="8.2454999999999998"/>
    <x v="0"/>
    <x v="1"/>
    <x v="1"/>
  </r>
  <r>
    <s v="BWZ-46364-547"/>
    <x v="301"/>
    <s v="64918-67725-MN"/>
    <s v="R-L-1"/>
    <x v="41"/>
    <n v="3"/>
    <x v="589"/>
    <s v="ybasillht@theguardian.com"/>
    <x v="0"/>
    <s v="Pittsburgh"/>
    <s v="Rob"/>
    <s v="L"/>
    <x v="0"/>
    <n v="11.95"/>
    <n v="35.849999999999994"/>
    <n v="0.71699999999999997"/>
    <n v="2.1509999999999998"/>
    <x v="0"/>
    <x v="1"/>
    <x v="0"/>
  </r>
  <r>
    <s v="SBC-95710-706"/>
    <x v="194"/>
    <s v="85634-61759-ND"/>
    <s v="E-M-0.2"/>
    <x v="18"/>
    <n v="2"/>
    <x v="590"/>
    <s v="mbaistowhu@i2i.jp"/>
    <x v="2"/>
    <s v="Ford"/>
    <s v="Exc"/>
    <s v="M"/>
    <x v="3"/>
    <n v="4.125"/>
    <n v="8.25"/>
    <n v="0.45374999999999999"/>
    <n v="0.90749999999999997"/>
    <x v="1"/>
    <x v="0"/>
    <x v="0"/>
  </r>
  <r>
    <s v="WRN-55114-031"/>
    <x v="26"/>
    <s v="40180-22940-QB"/>
    <s v="E-L-2.5"/>
    <x v="10"/>
    <n v="3"/>
    <x v="591"/>
    <s v="cpallanthv@typepad.com"/>
    <x v="0"/>
    <s v="Dallas"/>
    <s v="Exc"/>
    <s v="L"/>
    <x v="2"/>
    <n v="34.154999999999994"/>
    <n v="102.46499999999997"/>
    <n v="3.7570499999999996"/>
    <n v="11.271149999999999"/>
    <x v="1"/>
    <x v="1"/>
    <x v="0"/>
  </r>
  <r>
    <s v="TZU-64255-831"/>
    <x v="125"/>
    <s v="34666-76738-SQ"/>
    <s v="R-D-2.5"/>
    <x v="11"/>
    <n v="2"/>
    <x v="592"/>
    <s v=""/>
    <x v="0"/>
    <s v="Miami"/>
    <s v="Rob"/>
    <s v="D"/>
    <x v="2"/>
    <n v="20.584999999999997"/>
    <n v="41.169999999999995"/>
    <n v="1.2350999999999999"/>
    <n v="2.4701999999999997"/>
    <x v="0"/>
    <x v="2"/>
    <x v="1"/>
  </r>
  <r>
    <s v="JVF-91003-729"/>
    <x v="492"/>
    <s v="98536-88616-FF"/>
    <s v="A-D-2.5"/>
    <x v="30"/>
    <n v="3"/>
    <x v="593"/>
    <s v="dohx@redcross.org"/>
    <x v="0"/>
    <s v="San Angelo"/>
    <s v="Ara"/>
    <s v="D"/>
    <x v="2"/>
    <n v="22.884999999999998"/>
    <n v="68.655000000000001"/>
    <n v="2.0596499999999995"/>
    <n v="6.1789499999999986"/>
    <x v="2"/>
    <x v="2"/>
    <x v="0"/>
  </r>
  <r>
    <s v="MVB-22135-665"/>
    <x v="462"/>
    <s v="55621-06130-SA"/>
    <s v="A-D-1"/>
    <x v="9"/>
    <n v="1"/>
    <x v="594"/>
    <s v="drallinhy@howstuffworks.com"/>
    <x v="0"/>
    <s v="Albany"/>
    <s v="Ara"/>
    <s v="D"/>
    <x v="0"/>
    <n v="9.9499999999999993"/>
    <n v="9.9499999999999993"/>
    <n v="0.89549999999999985"/>
    <n v="0.89549999999999985"/>
    <x v="2"/>
    <x v="2"/>
    <x v="0"/>
  </r>
  <r>
    <s v="CKS-47815-571"/>
    <x v="493"/>
    <s v="45666-86771-EH"/>
    <s v="L-L-0.5"/>
    <x v="23"/>
    <n v="3"/>
    <x v="595"/>
    <s v="achillhz@epa.gov"/>
    <x v="2"/>
    <s v="Thorpe"/>
    <s v="Lib"/>
    <s v="L"/>
    <x v="1"/>
    <n v="9.51"/>
    <n v="28.53"/>
    <n v="1.2363"/>
    <n v="3.7088999999999999"/>
    <x v="3"/>
    <x v="1"/>
    <x v="0"/>
  </r>
  <r>
    <s v="OAW-17338-101"/>
    <x v="494"/>
    <s v="52143-35672-JF"/>
    <s v="R-D-0.2"/>
    <x v="25"/>
    <n v="6"/>
    <x v="588"/>
    <s v="tmathonneti0@google.co.jp"/>
    <x v="0"/>
    <s v="Columbus"/>
    <s v="Rob"/>
    <s v="D"/>
    <x v="3"/>
    <n v="2.6849999999999996"/>
    <n v="16.11"/>
    <n v="0.16109999999999997"/>
    <n v="0.96659999999999979"/>
    <x v="0"/>
    <x v="2"/>
    <x v="1"/>
  </r>
  <r>
    <s v="ALP-37623-536"/>
    <x v="495"/>
    <s v="24689-69376-XX"/>
    <s v="L-L-1"/>
    <x v="32"/>
    <n v="6"/>
    <x v="596"/>
    <s v="cdenysi1@is.gd"/>
    <x v="2"/>
    <s v="Carlton"/>
    <s v="Lib"/>
    <s v="L"/>
    <x v="0"/>
    <n v="15.85"/>
    <n v="95.1"/>
    <n v="2.0605000000000002"/>
    <n v="12.363000000000001"/>
    <x v="3"/>
    <x v="1"/>
    <x v="1"/>
  </r>
  <r>
    <s v="WMU-87639-108"/>
    <x v="496"/>
    <s v="71891-51101-VQ"/>
    <s v="R-D-0.5"/>
    <x v="34"/>
    <n v="1"/>
    <x v="597"/>
    <s v="cstebbingsi2@drupal.org"/>
    <x v="0"/>
    <s v="Corona"/>
    <s v="Rob"/>
    <s v="D"/>
    <x v="1"/>
    <n v="5.3699999999999992"/>
    <n v="5.3699999999999992"/>
    <n v="0.32219999999999993"/>
    <n v="0.32219999999999993"/>
    <x v="0"/>
    <x v="2"/>
    <x v="0"/>
  </r>
  <r>
    <s v="USN-44968-231"/>
    <x v="497"/>
    <s v="71749-05400-CN"/>
    <s v="R-L-1"/>
    <x v="41"/>
    <n v="4"/>
    <x v="598"/>
    <s v=""/>
    <x v="0"/>
    <s v="Washington"/>
    <s v="Rob"/>
    <s v="L"/>
    <x v="0"/>
    <n v="11.95"/>
    <n v="47.8"/>
    <n v="0.71699999999999997"/>
    <n v="2.8679999999999999"/>
    <x v="0"/>
    <x v="1"/>
    <x v="1"/>
  </r>
  <r>
    <s v="YZG-20575-451"/>
    <x v="498"/>
    <s v="64845-00270-NO"/>
    <s v="L-L-1"/>
    <x v="32"/>
    <n v="4"/>
    <x v="599"/>
    <s v="rzywickii4@ifeng.com"/>
    <x v="1"/>
    <s v="Ballinteer"/>
    <s v="Lib"/>
    <s v="L"/>
    <x v="0"/>
    <n v="15.85"/>
    <n v="63.4"/>
    <n v="2.0605000000000002"/>
    <n v="8.2420000000000009"/>
    <x v="3"/>
    <x v="1"/>
    <x v="1"/>
  </r>
  <r>
    <s v="HTH-52867-812"/>
    <x v="382"/>
    <s v="29851-36402-UX"/>
    <s v="A-M-2.5"/>
    <x v="37"/>
    <n v="4"/>
    <x v="600"/>
    <s v="aburgetti5@moonfruit.com"/>
    <x v="0"/>
    <s v="Toledo"/>
    <s v="Ara"/>
    <s v="M"/>
    <x v="2"/>
    <n v="25.874999999999996"/>
    <n v="103.49999999999999"/>
    <n v="2.3287499999999994"/>
    <n v="9.3149999999999977"/>
    <x v="2"/>
    <x v="0"/>
    <x v="1"/>
  </r>
  <r>
    <s v="FWU-44971-444"/>
    <x v="499"/>
    <s v="12190-25421-WM"/>
    <s v="A-D-2.5"/>
    <x v="30"/>
    <n v="3"/>
    <x v="601"/>
    <s v="mmalloyi6@seattletimes.com"/>
    <x v="0"/>
    <s v="Washington"/>
    <s v="Ara"/>
    <s v="D"/>
    <x v="2"/>
    <n v="22.884999999999998"/>
    <n v="68.655000000000001"/>
    <n v="2.0596499999999995"/>
    <n v="6.1789499999999986"/>
    <x v="2"/>
    <x v="2"/>
    <x v="1"/>
  </r>
  <r>
    <s v="EQI-82205-066"/>
    <x v="500"/>
    <s v="52316-30571-GD"/>
    <s v="R-M-2.5"/>
    <x v="13"/>
    <n v="2"/>
    <x v="602"/>
    <s v="mmcparlandi7@w3.org"/>
    <x v="0"/>
    <s v="Cedar Rapids"/>
    <s v="Rob"/>
    <s v="M"/>
    <x v="2"/>
    <n v="22.884999999999998"/>
    <n v="45.769999999999996"/>
    <n v="1.3730999999999998"/>
    <n v="2.7461999999999995"/>
    <x v="0"/>
    <x v="0"/>
    <x v="0"/>
  </r>
  <r>
    <s v="NAR-00747-074"/>
    <x v="501"/>
    <s v="23243-92649-RY"/>
    <s v="L-D-1"/>
    <x v="5"/>
    <n v="4"/>
    <x v="603"/>
    <s v="sjennaroyi8@purevolume.com"/>
    <x v="0"/>
    <s v="Aurora"/>
    <s v="Lib"/>
    <s v="D"/>
    <x v="0"/>
    <n v="12.95"/>
    <n v="51.8"/>
    <n v="1.6835"/>
    <n v="6.734"/>
    <x v="3"/>
    <x v="2"/>
    <x v="1"/>
  </r>
  <r>
    <s v="JYR-22052-185"/>
    <x v="502"/>
    <s v="39528-19971-OR"/>
    <s v="A-M-0.5"/>
    <x v="19"/>
    <n v="2"/>
    <x v="604"/>
    <s v="wplacei9@wsj.com"/>
    <x v="0"/>
    <s v="Sunnyvale"/>
    <s v="Ara"/>
    <s v="M"/>
    <x v="1"/>
    <n v="6.75"/>
    <n v="13.5"/>
    <n v="0.60749999999999993"/>
    <n v="1.2149999999999999"/>
    <x v="2"/>
    <x v="0"/>
    <x v="0"/>
  </r>
  <r>
    <s v="XKO-54097-932"/>
    <x v="503"/>
    <s v="32743-78448-KT"/>
    <s v="E-M-0.5"/>
    <x v="1"/>
    <n v="3"/>
    <x v="605"/>
    <s v="jmillettik@addtoany.com"/>
    <x v="0"/>
    <s v="Durham"/>
    <s v="Exc"/>
    <s v="M"/>
    <x v="1"/>
    <n v="8.25"/>
    <n v="24.75"/>
    <n v="0.90749999999999997"/>
    <n v="2.7225000000000001"/>
    <x v="1"/>
    <x v="0"/>
    <x v="0"/>
  </r>
  <r>
    <s v="HXA-72415-025"/>
    <x v="504"/>
    <s v="93417-12322-YB"/>
    <s v="A-D-2.5"/>
    <x v="30"/>
    <n v="2"/>
    <x v="606"/>
    <s v="dgadsdenib@google.com.hk"/>
    <x v="1"/>
    <s v="Cluain Meala"/>
    <s v="Ara"/>
    <s v="D"/>
    <x v="2"/>
    <n v="22.884999999999998"/>
    <n v="45.769999999999996"/>
    <n v="2.0596499999999995"/>
    <n v="4.1192999999999991"/>
    <x v="2"/>
    <x v="2"/>
    <x v="0"/>
  </r>
  <r>
    <s v="MJF-20065-335"/>
    <x v="497"/>
    <s v="56891-86662-UY"/>
    <s v="E-L-0.5"/>
    <x v="38"/>
    <n v="6"/>
    <x v="607"/>
    <s v="vwakelinic@unesco.org"/>
    <x v="0"/>
    <s v="Lansing"/>
    <s v="Exc"/>
    <s v="L"/>
    <x v="1"/>
    <n v="8.91"/>
    <n v="53.46"/>
    <n v="0.98009999999999997"/>
    <n v="5.8805999999999994"/>
    <x v="1"/>
    <x v="1"/>
    <x v="1"/>
  </r>
  <r>
    <s v="GFI-83300-059"/>
    <x v="501"/>
    <s v="40414-26467-VE"/>
    <s v="A-M-0.2"/>
    <x v="14"/>
    <n v="6"/>
    <x v="608"/>
    <s v="acampsallid@zimbio.com"/>
    <x v="0"/>
    <s v="Houston"/>
    <s v="Ara"/>
    <s v="M"/>
    <x v="3"/>
    <n v="3.375"/>
    <n v="20.25"/>
    <n v="0.30374999999999996"/>
    <n v="1.8224999999999998"/>
    <x v="2"/>
    <x v="0"/>
    <x v="0"/>
  </r>
  <r>
    <s v="WJR-51493-682"/>
    <x v="1"/>
    <s v="87858-83734-RK"/>
    <s v="L-D-2.5"/>
    <x v="27"/>
    <n v="5"/>
    <x v="609"/>
    <s v="smosebyie@stanford.edu"/>
    <x v="0"/>
    <s v="Murfreesboro"/>
    <s v="Lib"/>
    <s v="D"/>
    <x v="2"/>
    <n v="29.784999999999997"/>
    <n v="148.92499999999998"/>
    <n v="3.8720499999999998"/>
    <n v="19.360250000000001"/>
    <x v="3"/>
    <x v="2"/>
    <x v="1"/>
  </r>
  <r>
    <s v="SHP-55648-472"/>
    <x v="505"/>
    <s v="46818-20198-GB"/>
    <s v="A-M-1"/>
    <x v="17"/>
    <n v="6"/>
    <x v="610"/>
    <s v="cwassif@prweb.com"/>
    <x v="0"/>
    <s v="Charleston"/>
    <s v="Ara"/>
    <s v="M"/>
    <x v="0"/>
    <n v="11.25"/>
    <n v="67.5"/>
    <n v="1.0125"/>
    <n v="6.0749999999999993"/>
    <x v="2"/>
    <x v="0"/>
    <x v="1"/>
  </r>
  <r>
    <s v="HYR-03455-684"/>
    <x v="506"/>
    <s v="29808-89098-XD"/>
    <s v="E-D-1"/>
    <x v="45"/>
    <n v="6"/>
    <x v="611"/>
    <s v="isjostromig@pbs.org"/>
    <x v="0"/>
    <s v="Erie"/>
    <s v="Exc"/>
    <s v="D"/>
    <x v="0"/>
    <n v="12.15"/>
    <n v="72.900000000000006"/>
    <n v="1.3365"/>
    <n v="8.0190000000000001"/>
    <x v="1"/>
    <x v="2"/>
    <x v="1"/>
  </r>
  <r>
    <s v="HYR-03455-684"/>
    <x v="506"/>
    <s v="29808-89098-XD"/>
    <s v="L-D-0.2"/>
    <x v="12"/>
    <n v="2"/>
    <x v="611"/>
    <s v="isjostromig@pbs.org"/>
    <x v="0"/>
    <s v="Erie"/>
    <s v="Lib"/>
    <s v="D"/>
    <x v="3"/>
    <n v="3.8849999999999998"/>
    <n v="7.77"/>
    <n v="0.50505"/>
    <n v="1.0101"/>
    <x v="3"/>
    <x v="2"/>
    <x v="1"/>
  </r>
  <r>
    <s v="HUG-52766-375"/>
    <x v="507"/>
    <s v="78786-77449-RQ"/>
    <s v="A-D-2.5"/>
    <x v="30"/>
    <n v="4"/>
    <x v="612"/>
    <s v="jbranchettii@bravesites.com"/>
    <x v="0"/>
    <s v="Lubbock"/>
    <s v="Ara"/>
    <s v="D"/>
    <x v="2"/>
    <n v="22.884999999999998"/>
    <n v="91.539999999999992"/>
    <n v="2.0596499999999995"/>
    <n v="8.2385999999999981"/>
    <x v="2"/>
    <x v="2"/>
    <x v="1"/>
  </r>
  <r>
    <s v="DAH-46595-917"/>
    <x v="508"/>
    <s v="27878-42224-QF"/>
    <s v="A-D-1"/>
    <x v="9"/>
    <n v="6"/>
    <x v="613"/>
    <s v="nrudlandij@blogs.com"/>
    <x v="1"/>
    <s v="Gorey"/>
    <s v="Ara"/>
    <s v="D"/>
    <x v="0"/>
    <n v="9.9499999999999993"/>
    <n v="59.699999999999996"/>
    <n v="0.89549999999999985"/>
    <n v="5.3729999999999993"/>
    <x v="2"/>
    <x v="2"/>
    <x v="1"/>
  </r>
  <r>
    <s v="VEM-79839-466"/>
    <x v="509"/>
    <s v="32743-78448-KT"/>
    <s v="R-L-2.5"/>
    <x v="4"/>
    <n v="5"/>
    <x v="605"/>
    <s v="jmillettik@addtoany.com"/>
    <x v="0"/>
    <s v="Durham"/>
    <s v="Rob"/>
    <s v="L"/>
    <x v="2"/>
    <n v="27.484999999999996"/>
    <n v="137.42499999999998"/>
    <n v="1.6490999999999998"/>
    <n v="8.2454999999999998"/>
    <x v="0"/>
    <x v="1"/>
    <x v="0"/>
  </r>
  <r>
    <s v="OWH-11126-533"/>
    <x v="131"/>
    <s v="25331-13794-SB"/>
    <s v="L-M-2.5"/>
    <x v="43"/>
    <n v="2"/>
    <x v="614"/>
    <s v="ftourryil@google.de"/>
    <x v="0"/>
    <s v="Florence"/>
    <s v="Lib"/>
    <s v="M"/>
    <x v="2"/>
    <n v="33.464999999999996"/>
    <n v="66.929999999999993"/>
    <n v="4.3504499999999995"/>
    <n v="8.700899999999999"/>
    <x v="3"/>
    <x v="0"/>
    <x v="1"/>
  </r>
  <r>
    <s v="UMT-26130-151"/>
    <x v="510"/>
    <s v="55864-37682-GQ"/>
    <s v="L-M-0.2"/>
    <x v="21"/>
    <n v="3"/>
    <x v="615"/>
    <s v="cweatherallim@toplist.cz"/>
    <x v="0"/>
    <s v="Syracuse"/>
    <s v="Lib"/>
    <s v="M"/>
    <x v="3"/>
    <n v="4.3650000000000002"/>
    <n v="13.095000000000001"/>
    <n v="0.56745000000000001"/>
    <n v="1.70235"/>
    <x v="3"/>
    <x v="0"/>
    <x v="0"/>
  </r>
  <r>
    <s v="JKA-27899-806"/>
    <x v="511"/>
    <s v="97005-25609-CQ"/>
    <s v="R-L-1"/>
    <x v="41"/>
    <n v="5"/>
    <x v="616"/>
    <s v="gheindrickin@usda.gov"/>
    <x v="0"/>
    <s v="Lawrenceville"/>
    <s v="Rob"/>
    <s v="L"/>
    <x v="0"/>
    <n v="11.95"/>
    <n v="59.75"/>
    <n v="0.71699999999999997"/>
    <n v="3.585"/>
    <x v="0"/>
    <x v="1"/>
    <x v="1"/>
  </r>
  <r>
    <s v="ULU-07744-724"/>
    <x v="512"/>
    <s v="94058-95794-IJ"/>
    <s v="L-M-0.5"/>
    <x v="22"/>
    <n v="5"/>
    <x v="617"/>
    <s v="limasonio@discuz.net"/>
    <x v="0"/>
    <s v="Houston"/>
    <s v="Lib"/>
    <s v="M"/>
    <x v="1"/>
    <n v="8.73"/>
    <n v="43.650000000000006"/>
    <n v="1.1349"/>
    <n v="5.6745000000000001"/>
    <x v="3"/>
    <x v="0"/>
    <x v="0"/>
  </r>
  <r>
    <s v="NOM-56457-507"/>
    <x v="513"/>
    <s v="40214-03678-GU"/>
    <s v="E-M-1"/>
    <x v="3"/>
    <n v="6"/>
    <x v="618"/>
    <s v="hsaillip@odnoklassniki.ru"/>
    <x v="0"/>
    <s v="Kansas City"/>
    <s v="Exc"/>
    <s v="M"/>
    <x v="0"/>
    <n v="13.75"/>
    <n v="82.5"/>
    <n v="1.5125"/>
    <n v="9.0749999999999993"/>
    <x v="1"/>
    <x v="0"/>
    <x v="0"/>
  </r>
  <r>
    <s v="NZN-71683-705"/>
    <x v="514"/>
    <s v="04921-85445-SL"/>
    <s v="A-L-2.5"/>
    <x v="44"/>
    <n v="6"/>
    <x v="619"/>
    <s v="hlarvoriq@last.fm"/>
    <x v="0"/>
    <s v="Bradenton"/>
    <s v="Ara"/>
    <s v="L"/>
    <x v="2"/>
    <n v="29.784999999999997"/>
    <n v="178.70999999999998"/>
    <n v="2.6806499999999995"/>
    <n v="16.083899999999996"/>
    <x v="2"/>
    <x v="1"/>
    <x v="0"/>
  </r>
  <r>
    <s v="WMA-34232-850"/>
    <x v="7"/>
    <s v="53386-94266-LJ"/>
    <s v="L-D-2.5"/>
    <x v="27"/>
    <n v="4"/>
    <x v="620"/>
    <s v=""/>
    <x v="0"/>
    <s v="Allentown"/>
    <s v="Lib"/>
    <s v="D"/>
    <x v="2"/>
    <n v="29.784999999999997"/>
    <n v="119.13999999999999"/>
    <n v="3.8720499999999998"/>
    <n v="15.488199999999999"/>
    <x v="3"/>
    <x v="2"/>
    <x v="0"/>
  </r>
  <r>
    <s v="EZL-27919-704"/>
    <x v="481"/>
    <s v="49480-85909-DG"/>
    <s v="L-L-0.5"/>
    <x v="23"/>
    <n v="5"/>
    <x v="621"/>
    <s v=""/>
    <x v="0"/>
    <s v="Hampton"/>
    <s v="Lib"/>
    <s v="L"/>
    <x v="1"/>
    <n v="9.51"/>
    <n v="47.55"/>
    <n v="1.2363"/>
    <n v="6.1814999999999998"/>
    <x v="3"/>
    <x v="1"/>
    <x v="1"/>
  </r>
  <r>
    <s v="ZYU-11345-774"/>
    <x v="515"/>
    <s v="18293-78136-MN"/>
    <s v="L-M-0.5"/>
    <x v="22"/>
    <n v="5"/>
    <x v="622"/>
    <s v="cpenwardenit@mlb.com"/>
    <x v="1"/>
    <s v="Whitegate"/>
    <s v="Lib"/>
    <s v="M"/>
    <x v="1"/>
    <n v="8.73"/>
    <n v="43.650000000000006"/>
    <n v="1.1349"/>
    <n v="5.6745000000000001"/>
    <x v="3"/>
    <x v="0"/>
    <x v="1"/>
  </r>
  <r>
    <s v="CPW-34587-459"/>
    <x v="516"/>
    <s v="84641-67384-TD"/>
    <s v="A-L-2.5"/>
    <x v="44"/>
    <n v="6"/>
    <x v="623"/>
    <s v="mmiddisiu@dmoz.org"/>
    <x v="0"/>
    <s v="Wichita"/>
    <s v="Ara"/>
    <s v="L"/>
    <x v="2"/>
    <n v="29.784999999999997"/>
    <n v="178.70999999999998"/>
    <n v="2.6806499999999995"/>
    <n v="16.083899999999996"/>
    <x v="2"/>
    <x v="1"/>
    <x v="0"/>
  </r>
  <r>
    <s v="NQZ-82067-394"/>
    <x v="517"/>
    <s v="72320-29738-EB"/>
    <s v="R-L-2.5"/>
    <x v="4"/>
    <n v="1"/>
    <x v="624"/>
    <s v="avairowiv@studiopress.com"/>
    <x v="2"/>
    <s v="Thorpe"/>
    <s v="Rob"/>
    <s v="L"/>
    <x v="2"/>
    <n v="27.484999999999996"/>
    <n v="27.484999999999996"/>
    <n v="1.6490999999999998"/>
    <n v="1.6490999999999998"/>
    <x v="0"/>
    <x v="1"/>
    <x v="1"/>
  </r>
  <r>
    <s v="JBW-95055-851"/>
    <x v="518"/>
    <s v="47355-97488-XS"/>
    <s v="A-M-1"/>
    <x v="17"/>
    <n v="5"/>
    <x v="625"/>
    <s v="agoldieiw@goo.gl"/>
    <x v="0"/>
    <s v="Danbury"/>
    <s v="Ara"/>
    <s v="M"/>
    <x v="0"/>
    <n v="11.25"/>
    <n v="56.25"/>
    <n v="1.0125"/>
    <n v="5.0625"/>
    <x v="2"/>
    <x v="0"/>
    <x v="1"/>
  </r>
  <r>
    <s v="AHY-20324-088"/>
    <x v="519"/>
    <s v="63499-24884-PP"/>
    <s v="L-L-0.2"/>
    <x v="7"/>
    <n v="2"/>
    <x v="626"/>
    <s v="nayrisix@t-online.de"/>
    <x v="2"/>
    <s v="Kinloch"/>
    <s v="Lib"/>
    <s v="L"/>
    <x v="3"/>
    <n v="4.7549999999999999"/>
    <n v="9.51"/>
    <n v="0.61814999999999998"/>
    <n v="1.2363"/>
    <x v="3"/>
    <x v="1"/>
    <x v="0"/>
  </r>
  <r>
    <s v="ZSL-66684-103"/>
    <x v="520"/>
    <s v="39193-51770-FM"/>
    <s v="E-M-0.2"/>
    <x v="18"/>
    <n v="2"/>
    <x v="627"/>
    <s v="lbenediktovichiy@wunderground.com"/>
    <x v="0"/>
    <s v="Jacksonville"/>
    <s v="Exc"/>
    <s v="M"/>
    <x v="3"/>
    <n v="4.125"/>
    <n v="8.25"/>
    <n v="0.45374999999999999"/>
    <n v="0.90749999999999997"/>
    <x v="1"/>
    <x v="0"/>
    <x v="0"/>
  </r>
  <r>
    <s v="WNE-73911-475"/>
    <x v="521"/>
    <s v="61323-91967-GG"/>
    <s v="L-D-0.5"/>
    <x v="31"/>
    <n v="6"/>
    <x v="628"/>
    <s v="tjacobovitziz@cbc.ca"/>
    <x v="0"/>
    <s v="Houston"/>
    <s v="Lib"/>
    <s v="D"/>
    <x v="1"/>
    <n v="7.77"/>
    <n v="46.62"/>
    <n v="1.0101"/>
    <n v="6.0606"/>
    <x v="3"/>
    <x v="2"/>
    <x v="1"/>
  </r>
  <r>
    <s v="EZB-68383-559"/>
    <x v="418"/>
    <s v="90123-01967-KS"/>
    <s v="R-L-1"/>
    <x v="41"/>
    <n v="6"/>
    <x v="629"/>
    <s v=""/>
    <x v="0"/>
    <s v="Portland"/>
    <s v="Rob"/>
    <s v="L"/>
    <x v="0"/>
    <n v="11.95"/>
    <n v="71.699999999999989"/>
    <n v="0.71699999999999997"/>
    <n v="4.3019999999999996"/>
    <x v="0"/>
    <x v="1"/>
    <x v="1"/>
  </r>
  <r>
    <s v="OVO-01283-090"/>
    <x v="122"/>
    <s v="15958-25089-OS"/>
    <s v="L-L-2.5"/>
    <x v="26"/>
    <n v="2"/>
    <x v="630"/>
    <s v="jdruittj1@feedburner.com"/>
    <x v="0"/>
    <s v="Pasadena"/>
    <s v="Lib"/>
    <s v="L"/>
    <x v="2"/>
    <n v="36.454999999999998"/>
    <n v="72.91"/>
    <n v="4.7391499999999995"/>
    <n v="9.4782999999999991"/>
    <x v="3"/>
    <x v="1"/>
    <x v="0"/>
  </r>
  <r>
    <s v="TXH-78646-919"/>
    <x v="423"/>
    <s v="98430-37820-UV"/>
    <s v="R-D-0.2"/>
    <x v="25"/>
    <n v="3"/>
    <x v="631"/>
    <s v="dshortallj2@wikipedia.org"/>
    <x v="0"/>
    <s v="Santa Ana"/>
    <s v="Rob"/>
    <s v="D"/>
    <x v="3"/>
    <n v="2.6849999999999996"/>
    <n v="8.0549999999999997"/>
    <n v="0.16109999999999997"/>
    <n v="0.4832999999999999"/>
    <x v="0"/>
    <x v="2"/>
    <x v="0"/>
  </r>
  <r>
    <s v="CYZ-37122-164"/>
    <x v="463"/>
    <s v="21798-04171-XC"/>
    <s v="E-M-0.5"/>
    <x v="1"/>
    <n v="2"/>
    <x v="632"/>
    <s v="wcottierj3@cafepress.com"/>
    <x v="0"/>
    <s v="San Jose"/>
    <s v="Exc"/>
    <s v="M"/>
    <x v="1"/>
    <n v="8.25"/>
    <n v="16.5"/>
    <n v="0.90749999999999997"/>
    <n v="1.8149999999999999"/>
    <x v="1"/>
    <x v="0"/>
    <x v="1"/>
  </r>
  <r>
    <s v="AGQ-06534-750"/>
    <x v="273"/>
    <s v="52798-46508-HP"/>
    <s v="A-L-1"/>
    <x v="2"/>
    <n v="5"/>
    <x v="633"/>
    <s v="kgrinstedj4@google.com.br"/>
    <x v="1"/>
    <s v="Tallaght"/>
    <s v="Ara"/>
    <s v="L"/>
    <x v="0"/>
    <n v="12.95"/>
    <n v="64.75"/>
    <n v="1.1655"/>
    <n v="5.8274999999999997"/>
    <x v="2"/>
    <x v="1"/>
    <x v="1"/>
  </r>
  <r>
    <s v="QVL-32245-818"/>
    <x v="522"/>
    <s v="46478-42970-EM"/>
    <s v="A-M-0.5"/>
    <x v="19"/>
    <n v="5"/>
    <x v="634"/>
    <s v="dskynerj5@hubpages.com"/>
    <x v="0"/>
    <s v="Colorado Springs"/>
    <s v="Ara"/>
    <s v="M"/>
    <x v="1"/>
    <n v="6.75"/>
    <n v="33.75"/>
    <n v="0.60749999999999993"/>
    <n v="3.0374999999999996"/>
    <x v="2"/>
    <x v="0"/>
    <x v="1"/>
  </r>
  <r>
    <s v="LTD-96842-834"/>
    <x v="523"/>
    <s v="00246-15080-LE"/>
    <s v="L-D-2.5"/>
    <x v="27"/>
    <n v="6"/>
    <x v="635"/>
    <s v=""/>
    <x v="0"/>
    <s v="Toledo"/>
    <s v="Lib"/>
    <s v="D"/>
    <x v="2"/>
    <n v="29.784999999999997"/>
    <n v="178.70999999999998"/>
    <n v="3.8720499999999998"/>
    <n v="23.232299999999999"/>
    <x v="3"/>
    <x v="2"/>
    <x v="1"/>
  </r>
  <r>
    <s v="SEC-91807-425"/>
    <x v="260"/>
    <s v="94091-86957-HX"/>
    <s v="A-M-1"/>
    <x v="17"/>
    <n v="2"/>
    <x v="636"/>
    <s v="jdymokeje@prnewswire.com"/>
    <x v="1"/>
    <s v="Beaumont"/>
    <s v="Ara"/>
    <s v="M"/>
    <x v="0"/>
    <n v="11.25"/>
    <n v="22.5"/>
    <n v="1.0125"/>
    <n v="2.0249999999999999"/>
    <x v="2"/>
    <x v="0"/>
    <x v="1"/>
  </r>
  <r>
    <s v="MHM-44857-599"/>
    <x v="331"/>
    <s v="26295-44907-DK"/>
    <s v="L-D-1"/>
    <x v="5"/>
    <n v="1"/>
    <x v="637"/>
    <s v="aweinmannj8@shinystat.com"/>
    <x v="0"/>
    <s v="Cincinnati"/>
    <s v="Lib"/>
    <s v="D"/>
    <x v="0"/>
    <n v="12.95"/>
    <n v="12.95"/>
    <n v="1.6835"/>
    <n v="1.6835"/>
    <x v="3"/>
    <x v="2"/>
    <x v="1"/>
  </r>
  <r>
    <s v="KGC-95046-911"/>
    <x v="524"/>
    <s v="95351-96177-QV"/>
    <s v="A-M-2.5"/>
    <x v="37"/>
    <n v="2"/>
    <x v="638"/>
    <s v="eandriessenj9@europa.eu"/>
    <x v="0"/>
    <s v="Saint Louis"/>
    <s v="Ara"/>
    <s v="M"/>
    <x v="2"/>
    <n v="25.874999999999996"/>
    <n v="51.749999999999993"/>
    <n v="2.3287499999999994"/>
    <n v="4.6574999999999989"/>
    <x v="2"/>
    <x v="0"/>
    <x v="0"/>
  </r>
  <r>
    <s v="RZC-75150-413"/>
    <x v="525"/>
    <s v="92204-96636-BS"/>
    <s v="E-D-0.5"/>
    <x v="6"/>
    <n v="5"/>
    <x v="639"/>
    <s v="rdeaconsonja@archive.org"/>
    <x v="0"/>
    <s v="Yonkers"/>
    <s v="Exc"/>
    <s v="D"/>
    <x v="1"/>
    <n v="7.29"/>
    <n v="36.450000000000003"/>
    <n v="0.80190000000000006"/>
    <n v="4.0095000000000001"/>
    <x v="1"/>
    <x v="2"/>
    <x v="1"/>
  </r>
  <r>
    <s v="EYH-88288-452"/>
    <x v="526"/>
    <s v="03010-30348-UA"/>
    <s v="L-L-2.5"/>
    <x v="26"/>
    <n v="5"/>
    <x v="640"/>
    <s v="dcarojb@twitter.com"/>
    <x v="0"/>
    <s v="Baltimore"/>
    <s v="Lib"/>
    <s v="L"/>
    <x v="2"/>
    <n v="36.454999999999998"/>
    <n v="182.27499999999998"/>
    <n v="4.7391499999999995"/>
    <n v="23.695749999999997"/>
    <x v="3"/>
    <x v="1"/>
    <x v="0"/>
  </r>
  <r>
    <s v="NYQ-24237-772"/>
    <x v="104"/>
    <s v="13441-34686-SW"/>
    <s v="L-D-0.5"/>
    <x v="31"/>
    <n v="4"/>
    <x v="641"/>
    <s v="jbluckjc@imageshack.us"/>
    <x v="0"/>
    <s v="Jacksonville"/>
    <s v="Lib"/>
    <s v="D"/>
    <x v="1"/>
    <n v="7.77"/>
    <n v="31.08"/>
    <n v="1.0101"/>
    <n v="4.0404"/>
    <x v="3"/>
    <x v="2"/>
    <x v="1"/>
  </r>
  <r>
    <s v="WKB-21680-566"/>
    <x v="491"/>
    <s v="96612-41722-VJ"/>
    <s v="A-M-0.5"/>
    <x v="19"/>
    <n v="3"/>
    <x v="642"/>
    <s v=""/>
    <x v="1"/>
    <s v="Bayside"/>
    <s v="Ara"/>
    <s v="M"/>
    <x v="1"/>
    <n v="6.75"/>
    <n v="20.25"/>
    <n v="0.60749999999999993"/>
    <n v="1.8224999999999998"/>
    <x v="2"/>
    <x v="0"/>
    <x v="1"/>
  </r>
  <r>
    <s v="THE-61147-027"/>
    <x v="157"/>
    <s v="94091-86957-HX"/>
    <s v="L-D-1"/>
    <x v="5"/>
    <n v="2"/>
    <x v="636"/>
    <s v="jdymokeje@prnewswire.com"/>
    <x v="1"/>
    <s v="Beaumont"/>
    <s v="Lib"/>
    <s v="D"/>
    <x v="0"/>
    <n v="12.95"/>
    <n v="25.9"/>
    <n v="1.6835"/>
    <n v="3.367"/>
    <x v="3"/>
    <x v="2"/>
    <x v="1"/>
  </r>
  <r>
    <s v="PTY-86420-119"/>
    <x v="527"/>
    <s v="25504-41681-WA"/>
    <s v="A-D-0.5"/>
    <x v="20"/>
    <n v="4"/>
    <x v="643"/>
    <s v="otadmanjf@ft.com"/>
    <x v="0"/>
    <s v="Miami"/>
    <s v="Ara"/>
    <s v="D"/>
    <x v="1"/>
    <n v="5.97"/>
    <n v="23.88"/>
    <n v="0.5373"/>
    <n v="2.1492"/>
    <x v="2"/>
    <x v="2"/>
    <x v="0"/>
  </r>
  <r>
    <s v="QHL-27188-431"/>
    <x v="528"/>
    <s v="75443-07820-DZ"/>
    <s v="L-L-0.5"/>
    <x v="23"/>
    <n v="2"/>
    <x v="644"/>
    <s v="bguddejg@dailymotion.com"/>
    <x v="0"/>
    <s v="San Francisco"/>
    <s v="Lib"/>
    <s v="L"/>
    <x v="1"/>
    <n v="9.51"/>
    <n v="19.02"/>
    <n v="1.2363"/>
    <n v="2.4725999999999999"/>
    <x v="3"/>
    <x v="1"/>
    <x v="1"/>
  </r>
  <r>
    <s v="MIS-54381-047"/>
    <x v="99"/>
    <s v="39276-95489-XV"/>
    <s v="A-D-0.5"/>
    <x v="20"/>
    <n v="5"/>
    <x v="645"/>
    <s v="nsictornesjh@buzzfeed.com"/>
    <x v="1"/>
    <s v="Sandyford"/>
    <s v="Ara"/>
    <s v="D"/>
    <x v="1"/>
    <n v="5.97"/>
    <n v="29.849999999999998"/>
    <n v="0.5373"/>
    <n v="2.6865000000000001"/>
    <x v="2"/>
    <x v="2"/>
    <x v="0"/>
  </r>
  <r>
    <s v="TBB-29780-459"/>
    <x v="529"/>
    <s v="61437-83623-PZ"/>
    <s v="A-L-0.5"/>
    <x v="42"/>
    <n v="1"/>
    <x v="646"/>
    <s v="vdunningji@independent.co.uk"/>
    <x v="0"/>
    <s v="Punta Gorda"/>
    <s v="Ara"/>
    <s v="L"/>
    <x v="1"/>
    <n v="7.77"/>
    <n v="7.77"/>
    <n v="0.69929999999999992"/>
    <n v="0.69929999999999992"/>
    <x v="2"/>
    <x v="1"/>
    <x v="0"/>
  </r>
  <r>
    <s v="QLC-52637-305"/>
    <x v="530"/>
    <s v="34317-87258-HQ"/>
    <s v="L-D-2.5"/>
    <x v="27"/>
    <n v="4"/>
    <x v="647"/>
    <s v=""/>
    <x v="1"/>
    <s v="Ballivor"/>
    <s v="Lib"/>
    <s v="D"/>
    <x v="2"/>
    <n v="29.784999999999997"/>
    <n v="119.13999999999999"/>
    <n v="3.8720499999999998"/>
    <n v="15.488199999999999"/>
    <x v="3"/>
    <x v="2"/>
    <x v="0"/>
  </r>
  <r>
    <s v="CWT-27056-328"/>
    <x v="531"/>
    <s v="18570-80998-ZS"/>
    <s v="E-D-0.2"/>
    <x v="15"/>
    <n v="6"/>
    <x v="648"/>
    <s v=""/>
    <x v="0"/>
    <s v="New York City"/>
    <s v="Exc"/>
    <s v="D"/>
    <x v="3"/>
    <n v="3.645"/>
    <n v="21.87"/>
    <n v="0.40095000000000003"/>
    <n v="2.4057000000000004"/>
    <x v="1"/>
    <x v="2"/>
    <x v="0"/>
  </r>
  <r>
    <s v="ASS-05878-128"/>
    <x v="210"/>
    <s v="66580-33745-OQ"/>
    <s v="E-L-0.5"/>
    <x v="38"/>
    <n v="2"/>
    <x v="649"/>
    <s v="sgehringjl@gnu.org"/>
    <x v="0"/>
    <s v="Spartanburg"/>
    <s v="Exc"/>
    <s v="L"/>
    <x v="1"/>
    <n v="8.91"/>
    <n v="17.82"/>
    <n v="0.98009999999999997"/>
    <n v="1.9601999999999999"/>
    <x v="1"/>
    <x v="1"/>
    <x v="1"/>
  </r>
  <r>
    <s v="EGK-03027-418"/>
    <x v="532"/>
    <s v="19820-29285-FD"/>
    <s v="E-M-0.2"/>
    <x v="18"/>
    <n v="3"/>
    <x v="650"/>
    <s v="bfallowesjm@purevolume.com"/>
    <x v="0"/>
    <s v="Bakersfield"/>
    <s v="Exc"/>
    <s v="M"/>
    <x v="3"/>
    <n v="4.125"/>
    <n v="12.375"/>
    <n v="0.45374999999999999"/>
    <n v="1.3612500000000001"/>
    <x v="1"/>
    <x v="0"/>
    <x v="1"/>
  </r>
  <r>
    <s v="KCY-61732-849"/>
    <x v="533"/>
    <s v="11349-55147-SN"/>
    <s v="L-D-1"/>
    <x v="5"/>
    <n v="2"/>
    <x v="651"/>
    <s v=""/>
    <x v="1"/>
    <s v="Dungarvan"/>
    <s v="Lib"/>
    <s v="D"/>
    <x v="0"/>
    <n v="12.95"/>
    <n v="25.9"/>
    <n v="1.6835"/>
    <n v="3.367"/>
    <x v="3"/>
    <x v="2"/>
    <x v="1"/>
  </r>
  <r>
    <s v="BLI-21697-702"/>
    <x v="534"/>
    <s v="21141-12455-VB"/>
    <s v="A-M-0.5"/>
    <x v="19"/>
    <n v="2"/>
    <x v="652"/>
    <s v="sdejo@newsvine.com"/>
    <x v="0"/>
    <s v="Saint Louis"/>
    <s v="Ara"/>
    <s v="M"/>
    <x v="1"/>
    <n v="6.75"/>
    <n v="13.5"/>
    <n v="0.60749999999999993"/>
    <n v="1.2149999999999999"/>
    <x v="2"/>
    <x v="0"/>
    <x v="0"/>
  </r>
  <r>
    <s v="KFJ-46568-890"/>
    <x v="535"/>
    <s v="71003-85639-HB"/>
    <s v="E-L-0.5"/>
    <x v="38"/>
    <n v="2"/>
    <x v="653"/>
    <s v=""/>
    <x v="0"/>
    <s v="Fort Wayne"/>
    <s v="Exc"/>
    <s v="L"/>
    <x v="1"/>
    <n v="8.91"/>
    <n v="17.82"/>
    <n v="0.98009999999999997"/>
    <n v="1.9601999999999999"/>
    <x v="1"/>
    <x v="1"/>
    <x v="0"/>
  </r>
  <r>
    <s v="SOK-43535-680"/>
    <x v="536"/>
    <s v="58443-95866-YO"/>
    <s v="E-M-0.5"/>
    <x v="1"/>
    <n v="3"/>
    <x v="654"/>
    <s v="scountjq@nba.com"/>
    <x v="0"/>
    <s v="Young America"/>
    <s v="Exc"/>
    <s v="M"/>
    <x v="1"/>
    <n v="8.25"/>
    <n v="24.75"/>
    <n v="0.90749999999999997"/>
    <n v="2.7225000000000001"/>
    <x v="1"/>
    <x v="0"/>
    <x v="1"/>
  </r>
  <r>
    <s v="XUE-87260-201"/>
    <x v="537"/>
    <s v="89646-21249-OH"/>
    <s v="R-M-0.2"/>
    <x v="36"/>
    <n v="6"/>
    <x v="655"/>
    <s v="sraglesjr@blogtalkradio.com"/>
    <x v="0"/>
    <s v="Fort Smith"/>
    <s v="Rob"/>
    <s v="M"/>
    <x v="3"/>
    <n v="2.9849999999999999"/>
    <n v="17.91"/>
    <n v="0.17909999999999998"/>
    <n v="1.0745999999999998"/>
    <x v="0"/>
    <x v="0"/>
    <x v="1"/>
  </r>
  <r>
    <s v="CZF-40873-691"/>
    <x v="61"/>
    <s v="64988-20636-XQ"/>
    <s v="E-M-0.5"/>
    <x v="1"/>
    <n v="2"/>
    <x v="656"/>
    <s v=""/>
    <x v="2"/>
    <s v="Charlton"/>
    <s v="Exc"/>
    <s v="M"/>
    <x v="1"/>
    <n v="8.25"/>
    <n v="16.5"/>
    <n v="0.90749999999999997"/>
    <n v="1.8149999999999999"/>
    <x v="1"/>
    <x v="0"/>
    <x v="1"/>
  </r>
  <r>
    <s v="AIA-98989-755"/>
    <x v="242"/>
    <s v="34704-83143-KS"/>
    <s v="R-M-0.2"/>
    <x v="36"/>
    <n v="1"/>
    <x v="657"/>
    <s v="sbruunjt@blogtalkradio.com"/>
    <x v="0"/>
    <s v="Stockton"/>
    <s v="Rob"/>
    <s v="M"/>
    <x v="3"/>
    <n v="2.9849999999999999"/>
    <n v="2.9849999999999999"/>
    <n v="0.17909999999999998"/>
    <n v="0.17909999999999998"/>
    <x v="0"/>
    <x v="0"/>
    <x v="1"/>
  </r>
  <r>
    <s v="ITZ-21793-986"/>
    <x v="299"/>
    <s v="67388-17544-XX"/>
    <s v="E-D-0.2"/>
    <x v="15"/>
    <n v="4"/>
    <x v="658"/>
    <s v="aplluju@dagondesign.com"/>
    <x v="1"/>
    <s v="Navan"/>
    <s v="Exc"/>
    <s v="D"/>
    <x v="3"/>
    <n v="3.645"/>
    <n v="14.58"/>
    <n v="0.40095000000000003"/>
    <n v="1.6038000000000001"/>
    <x v="1"/>
    <x v="2"/>
    <x v="0"/>
  </r>
  <r>
    <s v="YOK-93322-608"/>
    <x v="343"/>
    <s v="69411-48470-ID"/>
    <s v="E-L-1"/>
    <x v="33"/>
    <n v="6"/>
    <x v="659"/>
    <s v="gcornierjv@techcrunch.com"/>
    <x v="0"/>
    <s v="Tampa"/>
    <s v="Exc"/>
    <s v="L"/>
    <x v="0"/>
    <n v="14.85"/>
    <n v="89.1"/>
    <n v="1.6335"/>
    <n v="9.8010000000000002"/>
    <x v="1"/>
    <x v="1"/>
    <x v="1"/>
  </r>
  <r>
    <s v="LXK-00634-611"/>
    <x v="538"/>
    <s v="94091-86957-HX"/>
    <s v="R-L-1"/>
    <x v="41"/>
    <n v="3"/>
    <x v="636"/>
    <s v="jdymokeje@prnewswire.com"/>
    <x v="1"/>
    <s v="Beaumont"/>
    <s v="Rob"/>
    <s v="L"/>
    <x v="0"/>
    <n v="11.95"/>
    <n v="35.849999999999994"/>
    <n v="0.71699999999999997"/>
    <n v="2.1509999999999998"/>
    <x v="0"/>
    <x v="1"/>
    <x v="1"/>
  </r>
  <r>
    <s v="CQW-37388-302"/>
    <x v="539"/>
    <s v="97741-98924-KT"/>
    <s v="A-D-2.5"/>
    <x v="30"/>
    <n v="3"/>
    <x v="660"/>
    <s v="wharvisonjx@gizmodo.com"/>
    <x v="0"/>
    <s v="Philadelphia"/>
    <s v="Ara"/>
    <s v="D"/>
    <x v="2"/>
    <n v="22.884999999999998"/>
    <n v="68.655000000000001"/>
    <n v="2.0596499999999995"/>
    <n v="6.1789499999999986"/>
    <x v="2"/>
    <x v="2"/>
    <x v="1"/>
  </r>
  <r>
    <s v="SPA-79365-334"/>
    <x v="27"/>
    <s v="79857-78167-KO"/>
    <s v="L-D-1"/>
    <x v="5"/>
    <n v="3"/>
    <x v="661"/>
    <s v="dheafordjy@twitpic.com"/>
    <x v="0"/>
    <s v="San Angelo"/>
    <s v="Lib"/>
    <s v="D"/>
    <x v="0"/>
    <n v="12.95"/>
    <n v="38.849999999999994"/>
    <n v="1.6835"/>
    <n v="5.0504999999999995"/>
    <x v="3"/>
    <x v="2"/>
    <x v="1"/>
  </r>
  <r>
    <s v="VPX-08817-517"/>
    <x v="540"/>
    <s v="46963-10322-ZA"/>
    <s v="L-L-1"/>
    <x v="32"/>
    <n v="5"/>
    <x v="662"/>
    <s v="gfanthamjz@hexun.com"/>
    <x v="0"/>
    <s v="Los Angeles"/>
    <s v="Lib"/>
    <s v="L"/>
    <x v="0"/>
    <n v="15.85"/>
    <n v="79.25"/>
    <n v="2.0605000000000002"/>
    <n v="10.302500000000002"/>
    <x v="3"/>
    <x v="1"/>
    <x v="0"/>
  </r>
  <r>
    <s v="PBP-87115-410"/>
    <x v="541"/>
    <s v="93812-74772-MV"/>
    <s v="E-D-0.5"/>
    <x v="6"/>
    <n v="5"/>
    <x v="663"/>
    <s v="rcrookshanksk0@unc.edu"/>
    <x v="0"/>
    <s v="Lansing"/>
    <s v="Exc"/>
    <s v="D"/>
    <x v="1"/>
    <n v="7.29"/>
    <n v="36.450000000000003"/>
    <n v="0.80190000000000006"/>
    <n v="4.0095000000000001"/>
    <x v="1"/>
    <x v="2"/>
    <x v="0"/>
  </r>
  <r>
    <s v="SFB-93752-440"/>
    <x v="390"/>
    <s v="48203-23480-UB"/>
    <s v="R-M-0.2"/>
    <x v="36"/>
    <n v="3"/>
    <x v="664"/>
    <s v="nleakek1@cmu.edu"/>
    <x v="0"/>
    <s v="Clearwater"/>
    <s v="Rob"/>
    <s v="M"/>
    <x v="3"/>
    <n v="2.9849999999999999"/>
    <n v="8.9550000000000001"/>
    <n v="0.17909999999999998"/>
    <n v="0.53729999999999989"/>
    <x v="0"/>
    <x v="0"/>
    <x v="0"/>
  </r>
  <r>
    <s v="TBU-65158-068"/>
    <x v="396"/>
    <s v="60357-65386-RD"/>
    <s v="E-D-1"/>
    <x v="45"/>
    <n v="2"/>
    <x v="665"/>
    <s v=""/>
    <x v="0"/>
    <s v="Whittier"/>
    <s v="Exc"/>
    <s v="D"/>
    <x v="0"/>
    <n v="12.15"/>
    <n v="24.3"/>
    <n v="1.3365"/>
    <n v="2.673"/>
    <x v="1"/>
    <x v="2"/>
    <x v="1"/>
  </r>
  <r>
    <s v="TEH-08414-216"/>
    <x v="185"/>
    <s v="35099-13971-JI"/>
    <s v="E-M-2.5"/>
    <x v="28"/>
    <n v="2"/>
    <x v="666"/>
    <s v="geilhersenk3@networksolutions.com"/>
    <x v="0"/>
    <s v="Fresno"/>
    <s v="Exc"/>
    <s v="M"/>
    <x v="2"/>
    <n v="31.624999999999996"/>
    <n v="63.249999999999993"/>
    <n v="3.4787499999999998"/>
    <n v="6.9574999999999996"/>
    <x v="1"/>
    <x v="0"/>
    <x v="1"/>
  </r>
  <r>
    <s v="MAY-77231-536"/>
    <x v="542"/>
    <s v="01304-59807-OB"/>
    <s v="A-M-0.2"/>
    <x v="14"/>
    <n v="2"/>
    <x v="667"/>
    <s v=""/>
    <x v="0"/>
    <s v="New York City"/>
    <s v="Ara"/>
    <s v="M"/>
    <x v="3"/>
    <n v="3.375"/>
    <n v="6.75"/>
    <n v="0.30374999999999996"/>
    <n v="0.60749999999999993"/>
    <x v="2"/>
    <x v="0"/>
    <x v="0"/>
  </r>
  <r>
    <s v="ATY-28980-884"/>
    <x v="117"/>
    <s v="50705-17295-NK"/>
    <s v="A-L-0.2"/>
    <x v="29"/>
    <n v="6"/>
    <x v="668"/>
    <s v="caleixok5@globo.com"/>
    <x v="0"/>
    <s v="Colorado Springs"/>
    <s v="Ara"/>
    <s v="L"/>
    <x v="3"/>
    <n v="3.8849999999999998"/>
    <n v="23.31"/>
    <n v="0.34964999999999996"/>
    <n v="2.0978999999999997"/>
    <x v="2"/>
    <x v="1"/>
    <x v="1"/>
  </r>
  <r>
    <s v="SWP-88281-918"/>
    <x v="543"/>
    <s v="77657-61366-FY"/>
    <s v="L-L-2.5"/>
    <x v="26"/>
    <n v="4"/>
    <x v="669"/>
    <s v=""/>
    <x v="0"/>
    <s v="Long Beach"/>
    <s v="Lib"/>
    <s v="L"/>
    <x v="2"/>
    <n v="36.454999999999998"/>
    <n v="145.82"/>
    <n v="4.7391499999999995"/>
    <n v="18.956599999999998"/>
    <x v="3"/>
    <x v="1"/>
    <x v="1"/>
  </r>
  <r>
    <s v="VCE-56531-986"/>
    <x v="544"/>
    <s v="57192-13428-PL"/>
    <s v="R-M-0.5"/>
    <x v="8"/>
    <n v="5"/>
    <x v="670"/>
    <s v="rtomkowiczk7@bravesites.com"/>
    <x v="1"/>
    <s v="Lusk"/>
    <s v="Rob"/>
    <s v="M"/>
    <x v="1"/>
    <n v="5.97"/>
    <n v="29.849999999999998"/>
    <n v="0.35819999999999996"/>
    <n v="1.7909999999999999"/>
    <x v="0"/>
    <x v="0"/>
    <x v="0"/>
  </r>
  <r>
    <s v="FVV-75700-005"/>
    <x v="545"/>
    <s v="24891-77957-LU"/>
    <s v="E-D-0.5"/>
    <x v="6"/>
    <n v="3"/>
    <x v="671"/>
    <s v="rhuscroftk8@jimdo.com"/>
    <x v="0"/>
    <s v="Reno"/>
    <s v="Exc"/>
    <s v="D"/>
    <x v="1"/>
    <n v="7.29"/>
    <n v="21.87"/>
    <n v="0.80190000000000006"/>
    <n v="2.4057000000000004"/>
    <x v="1"/>
    <x v="2"/>
    <x v="0"/>
  </r>
  <r>
    <s v="CFZ-53492-600"/>
    <x v="546"/>
    <s v="64896-18468-BT"/>
    <s v="L-M-0.2"/>
    <x v="21"/>
    <n v="1"/>
    <x v="672"/>
    <s v="sscurrerk9@flavors.me"/>
    <x v="2"/>
    <s v="Upton"/>
    <s v="Lib"/>
    <s v="M"/>
    <x v="3"/>
    <n v="4.3650000000000002"/>
    <n v="4.3650000000000002"/>
    <n v="0.56745000000000001"/>
    <n v="0.56745000000000001"/>
    <x v="3"/>
    <x v="0"/>
    <x v="1"/>
  </r>
  <r>
    <s v="LDK-71031-121"/>
    <x v="420"/>
    <s v="84761-40784-SV"/>
    <s v="L-L-2.5"/>
    <x v="26"/>
    <n v="1"/>
    <x v="673"/>
    <s v="arudramka@prnewswire.com"/>
    <x v="0"/>
    <s v="Las Vegas"/>
    <s v="Lib"/>
    <s v="L"/>
    <x v="2"/>
    <n v="36.454999999999998"/>
    <n v="36.454999999999998"/>
    <n v="4.7391499999999995"/>
    <n v="4.7391499999999995"/>
    <x v="3"/>
    <x v="1"/>
    <x v="1"/>
  </r>
  <r>
    <s v="EBA-82404-343"/>
    <x v="547"/>
    <s v="20236-42322-CM"/>
    <s v="L-D-0.2"/>
    <x v="12"/>
    <n v="4"/>
    <x v="674"/>
    <s v=""/>
    <x v="0"/>
    <s v="Wilmington"/>
    <s v="Lib"/>
    <s v="D"/>
    <x v="3"/>
    <n v="3.8849999999999998"/>
    <n v="15.54"/>
    <n v="0.50505"/>
    <n v="2.0202"/>
    <x v="3"/>
    <x v="2"/>
    <x v="0"/>
  </r>
  <r>
    <s v="USA-42811-560"/>
    <x v="548"/>
    <s v="49671-11547-WG"/>
    <s v="E-L-0.2"/>
    <x v="46"/>
    <n v="2"/>
    <x v="675"/>
    <s v="jmahakc@cyberchimps.com"/>
    <x v="0"/>
    <s v="Reno"/>
    <s v="Exc"/>
    <s v="L"/>
    <x v="3"/>
    <n v="4.4550000000000001"/>
    <n v="8.91"/>
    <n v="0.49004999999999999"/>
    <n v="0.98009999999999997"/>
    <x v="1"/>
    <x v="1"/>
    <x v="1"/>
  </r>
  <r>
    <s v="SNL-83703-516"/>
    <x v="549"/>
    <s v="57976-33535-WK"/>
    <s v="L-M-2.5"/>
    <x v="43"/>
    <n v="3"/>
    <x v="676"/>
    <s v="gclemonkd@networksolutions.com"/>
    <x v="0"/>
    <s v="Tuscaloosa"/>
    <s v="Lib"/>
    <s v="M"/>
    <x v="2"/>
    <n v="33.464999999999996"/>
    <n v="100.39499999999998"/>
    <n v="4.3504499999999995"/>
    <n v="13.051349999999999"/>
    <x v="3"/>
    <x v="0"/>
    <x v="0"/>
  </r>
  <r>
    <s v="SUZ-83036-175"/>
    <x v="550"/>
    <s v="55915-19477-MK"/>
    <s v="R-D-0.2"/>
    <x v="25"/>
    <n v="5"/>
    <x v="677"/>
    <s v=""/>
    <x v="0"/>
    <s v="Garden Grove"/>
    <s v="Rob"/>
    <s v="D"/>
    <x v="3"/>
    <n v="2.6849999999999996"/>
    <n v="13.424999999999997"/>
    <n v="0.16109999999999997"/>
    <n v="0.80549999999999988"/>
    <x v="0"/>
    <x v="2"/>
    <x v="1"/>
  </r>
  <r>
    <s v="RGM-01187-513"/>
    <x v="551"/>
    <s v="28121-11641-UA"/>
    <s v="E-D-0.2"/>
    <x v="15"/>
    <n v="6"/>
    <x v="678"/>
    <s v="bpollinskf@shinystat.com"/>
    <x v="0"/>
    <s v="Shawnee Mission"/>
    <s v="Exc"/>
    <s v="D"/>
    <x v="3"/>
    <n v="3.645"/>
    <n v="21.87"/>
    <n v="0.40095000000000003"/>
    <n v="2.4057000000000004"/>
    <x v="1"/>
    <x v="2"/>
    <x v="1"/>
  </r>
  <r>
    <s v="CZG-01299-952"/>
    <x v="552"/>
    <s v="09540-70637-EV"/>
    <s v="L-D-1"/>
    <x v="5"/>
    <n v="2"/>
    <x v="679"/>
    <s v="jtoyekg@pinterest.com"/>
    <x v="1"/>
    <s v="Ballivor"/>
    <s v="Lib"/>
    <s v="D"/>
    <x v="0"/>
    <n v="12.95"/>
    <n v="25.9"/>
    <n v="1.6835"/>
    <n v="3.367"/>
    <x v="3"/>
    <x v="2"/>
    <x v="0"/>
  </r>
  <r>
    <s v="KLD-88731-484"/>
    <x v="553"/>
    <s v="17775-77072-PP"/>
    <s v="A-M-1"/>
    <x v="17"/>
    <n v="5"/>
    <x v="680"/>
    <s v="clinskillkh@sphinn.com"/>
    <x v="0"/>
    <s v="Cincinnati"/>
    <s v="Ara"/>
    <s v="M"/>
    <x v="0"/>
    <n v="11.25"/>
    <n v="56.25"/>
    <n v="1.0125"/>
    <n v="5.0625"/>
    <x v="2"/>
    <x v="0"/>
    <x v="1"/>
  </r>
  <r>
    <s v="BQK-38412-229"/>
    <x v="554"/>
    <s v="90392-73338-BC"/>
    <s v="R-L-0.2"/>
    <x v="40"/>
    <n v="3"/>
    <x v="681"/>
    <s v="nvigrasski@ezinearticles.com"/>
    <x v="2"/>
    <s v="Whitwell"/>
    <s v="Rob"/>
    <s v="L"/>
    <x v="3"/>
    <n v="3.5849999999999995"/>
    <n v="10.754999999999999"/>
    <n v="0.21509999999999996"/>
    <n v="0.64529999999999987"/>
    <x v="0"/>
    <x v="1"/>
    <x v="1"/>
  </r>
  <r>
    <s v="TCX-76953-071"/>
    <x v="555"/>
    <s v="94091-86957-HX"/>
    <s v="E-D-0.2"/>
    <x v="15"/>
    <n v="5"/>
    <x v="636"/>
    <s v="jdymokeje@prnewswire.com"/>
    <x v="1"/>
    <s v="Beaumont"/>
    <s v="Exc"/>
    <s v="D"/>
    <x v="3"/>
    <n v="3.645"/>
    <n v="18.225000000000001"/>
    <n v="0.40095000000000003"/>
    <n v="2.00475"/>
    <x v="1"/>
    <x v="2"/>
    <x v="1"/>
  </r>
  <r>
    <s v="LIN-88046-551"/>
    <x v="150"/>
    <s v="10725-45724-CO"/>
    <s v="R-L-0.5"/>
    <x v="35"/>
    <n v="4"/>
    <x v="682"/>
    <s v="kcragellkk@google.com"/>
    <x v="1"/>
    <s v="Dungarvan"/>
    <s v="Rob"/>
    <s v="L"/>
    <x v="1"/>
    <n v="7.169999999999999"/>
    <n v="28.679999999999996"/>
    <n v="0.43019999999999992"/>
    <n v="1.7207999999999997"/>
    <x v="0"/>
    <x v="1"/>
    <x v="1"/>
  </r>
  <r>
    <s v="PMV-54491-220"/>
    <x v="556"/>
    <s v="87242-18006-IR"/>
    <s v="L-M-0.2"/>
    <x v="21"/>
    <n v="2"/>
    <x v="683"/>
    <s v="libertkl@huffingtonpost.com"/>
    <x v="0"/>
    <s v="Sunnyvale"/>
    <s v="Lib"/>
    <s v="M"/>
    <x v="3"/>
    <n v="4.3650000000000002"/>
    <n v="8.73"/>
    <n v="0.56745000000000001"/>
    <n v="1.1349"/>
    <x v="3"/>
    <x v="0"/>
    <x v="1"/>
  </r>
  <r>
    <s v="SKA-73676-005"/>
    <x v="327"/>
    <s v="36572-91896-PP"/>
    <s v="L-M-1"/>
    <x v="24"/>
    <n v="4"/>
    <x v="684"/>
    <s v="rlidgeykm@vimeo.com"/>
    <x v="0"/>
    <s v="Memphis"/>
    <s v="Lib"/>
    <s v="M"/>
    <x v="0"/>
    <n v="14.55"/>
    <n v="58.2"/>
    <n v="1.8915000000000002"/>
    <n v="7.5660000000000007"/>
    <x v="3"/>
    <x v="0"/>
    <x v="1"/>
  </r>
  <r>
    <s v="TKH-62197-239"/>
    <x v="557"/>
    <s v="25181-97933-UX"/>
    <s v="A-D-0.5"/>
    <x v="20"/>
    <n v="3"/>
    <x v="685"/>
    <s v="tcastagnekn@wikia.com"/>
    <x v="0"/>
    <s v="Orlando"/>
    <s v="Ara"/>
    <s v="D"/>
    <x v="1"/>
    <n v="5.97"/>
    <n v="17.91"/>
    <n v="0.5373"/>
    <n v="1.6118999999999999"/>
    <x v="2"/>
    <x v="2"/>
    <x v="1"/>
  </r>
  <r>
    <s v="YXF-57218-272"/>
    <x v="333"/>
    <s v="55374-03175-IA"/>
    <s v="R-M-0.2"/>
    <x v="36"/>
    <n v="6"/>
    <x v="686"/>
    <s v=""/>
    <x v="0"/>
    <s v="Detroit"/>
    <s v="Rob"/>
    <s v="M"/>
    <x v="3"/>
    <n v="2.9849999999999999"/>
    <n v="17.91"/>
    <n v="0.17909999999999998"/>
    <n v="1.0745999999999998"/>
    <x v="0"/>
    <x v="0"/>
    <x v="0"/>
  </r>
  <r>
    <s v="PKJ-30083-501"/>
    <x v="558"/>
    <s v="76948-43532-JS"/>
    <s v="E-D-0.5"/>
    <x v="6"/>
    <n v="2"/>
    <x v="687"/>
    <s v="jhaldenkp@comcast.net"/>
    <x v="1"/>
    <s v="Clones"/>
    <s v="Exc"/>
    <s v="D"/>
    <x v="1"/>
    <n v="7.29"/>
    <n v="14.58"/>
    <n v="0.80190000000000006"/>
    <n v="1.6038000000000001"/>
    <x v="1"/>
    <x v="2"/>
    <x v="1"/>
  </r>
  <r>
    <s v="WTT-91832-645"/>
    <x v="559"/>
    <s v="24344-88599-PP"/>
    <s v="A-M-1"/>
    <x v="17"/>
    <n v="3"/>
    <x v="688"/>
    <s v="holliffkq@sciencedirect.com"/>
    <x v="1"/>
    <s v="Stradbally"/>
    <s v="Ara"/>
    <s v="M"/>
    <x v="0"/>
    <n v="11.25"/>
    <n v="33.75"/>
    <n v="1.0125"/>
    <n v="3.0374999999999996"/>
    <x v="2"/>
    <x v="0"/>
    <x v="1"/>
  </r>
  <r>
    <s v="TRZ-94735-865"/>
    <x v="310"/>
    <s v="54462-58311-YF"/>
    <s v="L-M-0.5"/>
    <x v="22"/>
    <n v="4"/>
    <x v="689"/>
    <s v="tquadrikr@opensource.org"/>
    <x v="1"/>
    <s v="Ballina"/>
    <s v="Lib"/>
    <s v="M"/>
    <x v="1"/>
    <n v="8.73"/>
    <n v="34.92"/>
    <n v="1.1349"/>
    <n v="4.5396000000000001"/>
    <x v="3"/>
    <x v="0"/>
    <x v="0"/>
  </r>
  <r>
    <s v="UDB-09651-780"/>
    <x v="560"/>
    <s v="90767-92589-LV"/>
    <s v="E-D-0.5"/>
    <x v="6"/>
    <n v="2"/>
    <x v="690"/>
    <s v="feshmadeks@umn.edu"/>
    <x v="0"/>
    <s v="Richmond"/>
    <s v="Exc"/>
    <s v="D"/>
    <x v="1"/>
    <n v="7.29"/>
    <n v="14.58"/>
    <n v="0.80190000000000006"/>
    <n v="1.6038000000000001"/>
    <x v="1"/>
    <x v="2"/>
    <x v="1"/>
  </r>
  <r>
    <s v="EHJ-82097-549"/>
    <x v="561"/>
    <s v="27517-43747-YD"/>
    <s v="R-D-0.2"/>
    <x v="25"/>
    <n v="2"/>
    <x v="691"/>
    <s v="moilierkt@paginegialle.it"/>
    <x v="1"/>
    <s v="Glasnevin"/>
    <s v="Rob"/>
    <s v="D"/>
    <x v="3"/>
    <n v="2.6849999999999996"/>
    <n v="5.3699999999999992"/>
    <n v="0.16109999999999997"/>
    <n v="0.32219999999999993"/>
    <x v="0"/>
    <x v="2"/>
    <x v="0"/>
  </r>
  <r>
    <s v="ZFR-79447-696"/>
    <x v="562"/>
    <s v="77828-66867-KH"/>
    <s v="R-M-0.5"/>
    <x v="8"/>
    <n v="1"/>
    <x v="692"/>
    <s v=""/>
    <x v="0"/>
    <s v="Fort Worth"/>
    <s v="Rob"/>
    <s v="M"/>
    <x v="1"/>
    <n v="5.97"/>
    <n v="5.97"/>
    <n v="0.35819999999999996"/>
    <n v="0.35819999999999996"/>
    <x v="0"/>
    <x v="0"/>
    <x v="0"/>
  </r>
  <r>
    <s v="NUU-03893-975"/>
    <x v="563"/>
    <s v="41054-59693-XE"/>
    <s v="L-L-0.5"/>
    <x v="23"/>
    <n v="2"/>
    <x v="693"/>
    <s v="vshoebothamkv@redcross.org"/>
    <x v="0"/>
    <s v="Brooklyn"/>
    <s v="Lib"/>
    <s v="L"/>
    <x v="1"/>
    <n v="9.51"/>
    <n v="19.02"/>
    <n v="1.2363"/>
    <n v="2.4725999999999999"/>
    <x v="3"/>
    <x v="1"/>
    <x v="1"/>
  </r>
  <r>
    <s v="GVG-59542-307"/>
    <x v="564"/>
    <s v="26314-66792-VP"/>
    <s v="E-M-1"/>
    <x v="3"/>
    <n v="2"/>
    <x v="694"/>
    <s v="bsterkekw@biblegateway.com"/>
    <x v="0"/>
    <s v="Fort Worth"/>
    <s v="Exc"/>
    <s v="M"/>
    <x v="0"/>
    <n v="13.75"/>
    <n v="27.5"/>
    <n v="1.5125"/>
    <n v="3.0249999999999999"/>
    <x v="1"/>
    <x v="0"/>
    <x v="0"/>
  </r>
  <r>
    <s v="YLY-35287-172"/>
    <x v="565"/>
    <s v="69410-04668-MA"/>
    <s v="A-D-0.5"/>
    <x v="20"/>
    <n v="5"/>
    <x v="695"/>
    <s v="scaponkx@craigslist.org"/>
    <x v="0"/>
    <s v="Phoenix"/>
    <s v="Ara"/>
    <s v="D"/>
    <x v="1"/>
    <n v="5.97"/>
    <n v="29.849999999999998"/>
    <n v="0.5373"/>
    <n v="2.6865000000000001"/>
    <x v="2"/>
    <x v="2"/>
    <x v="1"/>
  </r>
  <r>
    <s v="DCI-96254-548"/>
    <x v="566"/>
    <s v="94091-86957-HX"/>
    <s v="A-D-0.2"/>
    <x v="16"/>
    <n v="6"/>
    <x v="636"/>
    <s v="jdymokeje@prnewswire.com"/>
    <x v="1"/>
    <s v="Beaumont"/>
    <s v="Ara"/>
    <s v="D"/>
    <x v="3"/>
    <n v="2.9849999999999999"/>
    <n v="17.91"/>
    <n v="0.26865"/>
    <n v="1.6118999999999999"/>
    <x v="2"/>
    <x v="2"/>
    <x v="1"/>
  </r>
  <r>
    <s v="KHZ-26264-253"/>
    <x v="160"/>
    <s v="24972-55878-KX"/>
    <s v="L-L-0.2"/>
    <x v="7"/>
    <n v="6"/>
    <x v="696"/>
    <s v="fconstancekz@ifeng.com"/>
    <x v="0"/>
    <s v="Dallas"/>
    <s v="Lib"/>
    <s v="L"/>
    <x v="3"/>
    <n v="4.7549999999999999"/>
    <n v="28.53"/>
    <n v="0.61814999999999998"/>
    <n v="3.7088999999999999"/>
    <x v="3"/>
    <x v="1"/>
    <x v="1"/>
  </r>
  <r>
    <s v="AAQ-13644-699"/>
    <x v="567"/>
    <s v="46296-42617-OQ"/>
    <s v="R-D-1"/>
    <x v="39"/>
    <n v="4"/>
    <x v="697"/>
    <s v="fsulmanl0@washington.edu"/>
    <x v="0"/>
    <s v="Asheville"/>
    <s v="Rob"/>
    <s v="D"/>
    <x v="0"/>
    <n v="8.9499999999999993"/>
    <n v="35.799999999999997"/>
    <n v="0.53699999999999992"/>
    <n v="2.1479999999999997"/>
    <x v="0"/>
    <x v="2"/>
    <x v="0"/>
  </r>
  <r>
    <s v="LWL-68108-794"/>
    <x v="568"/>
    <s v="44494-89923-UW"/>
    <s v="A-D-0.5"/>
    <x v="20"/>
    <n v="3"/>
    <x v="698"/>
    <s v="dhollymanl1@ibm.com"/>
    <x v="0"/>
    <s v="Billings"/>
    <s v="Ara"/>
    <s v="D"/>
    <x v="1"/>
    <n v="5.97"/>
    <n v="17.91"/>
    <n v="0.5373"/>
    <n v="1.6118999999999999"/>
    <x v="2"/>
    <x v="2"/>
    <x v="0"/>
  </r>
  <r>
    <s v="JQT-14347-517"/>
    <x v="569"/>
    <s v="11621-09964-ID"/>
    <s v="R-D-1"/>
    <x v="39"/>
    <n v="1"/>
    <x v="699"/>
    <s v="lnardonil2@hao123.com"/>
    <x v="0"/>
    <s v="Saint Louis"/>
    <s v="Rob"/>
    <s v="D"/>
    <x v="0"/>
    <n v="8.9499999999999993"/>
    <n v="8.9499999999999993"/>
    <n v="0.53699999999999992"/>
    <n v="0.53699999999999992"/>
    <x v="0"/>
    <x v="2"/>
    <x v="1"/>
  </r>
  <r>
    <s v="BMM-86471-923"/>
    <x v="570"/>
    <s v="76319-80715-II"/>
    <s v="L-D-2.5"/>
    <x v="27"/>
    <n v="1"/>
    <x v="700"/>
    <s v="dyarhaml3@moonfruit.com"/>
    <x v="0"/>
    <s v="Independence"/>
    <s v="Lib"/>
    <s v="D"/>
    <x v="2"/>
    <n v="29.784999999999997"/>
    <n v="29.784999999999997"/>
    <n v="3.8720499999999998"/>
    <n v="3.8720499999999998"/>
    <x v="3"/>
    <x v="2"/>
    <x v="0"/>
  </r>
  <r>
    <s v="IXU-67272-326"/>
    <x v="571"/>
    <s v="91654-79216-IC"/>
    <s v="E-L-0.5"/>
    <x v="38"/>
    <n v="5"/>
    <x v="701"/>
    <s v="aferreal4@wikia.com"/>
    <x v="0"/>
    <s v="Greensboro"/>
    <s v="Exc"/>
    <s v="L"/>
    <x v="1"/>
    <n v="8.91"/>
    <n v="44.55"/>
    <n v="0.98009999999999997"/>
    <n v="4.9005000000000001"/>
    <x v="1"/>
    <x v="1"/>
    <x v="1"/>
  </r>
  <r>
    <s v="ITE-28312-615"/>
    <x v="139"/>
    <s v="56450-21890-HK"/>
    <s v="E-L-1"/>
    <x v="33"/>
    <n v="6"/>
    <x v="702"/>
    <s v="ckendrickl5@webnode.com"/>
    <x v="0"/>
    <s v="Monroe"/>
    <s v="Exc"/>
    <s v="L"/>
    <x v="0"/>
    <n v="14.85"/>
    <n v="89.1"/>
    <n v="1.6335"/>
    <n v="9.8010000000000002"/>
    <x v="1"/>
    <x v="1"/>
    <x v="0"/>
  </r>
  <r>
    <s v="ZHQ-30471-635"/>
    <x v="303"/>
    <s v="40600-58915-WZ"/>
    <s v="L-M-0.5"/>
    <x v="22"/>
    <n v="5"/>
    <x v="703"/>
    <s v="sdanilchikl6@mit.edu"/>
    <x v="2"/>
    <s v="Halton"/>
    <s v="Lib"/>
    <s v="M"/>
    <x v="1"/>
    <n v="8.73"/>
    <n v="43.650000000000006"/>
    <n v="1.1349"/>
    <n v="5.6745000000000001"/>
    <x v="3"/>
    <x v="0"/>
    <x v="1"/>
  </r>
  <r>
    <s v="LTP-31133-134"/>
    <x v="572"/>
    <s v="66527-94478-PB"/>
    <s v="A-L-0.5"/>
    <x v="42"/>
    <n v="3"/>
    <x v="704"/>
    <s v=""/>
    <x v="0"/>
    <s v="Fort Worth"/>
    <s v="Ara"/>
    <s v="L"/>
    <x v="1"/>
    <n v="7.77"/>
    <n v="23.31"/>
    <n v="0.69929999999999992"/>
    <n v="2.0978999999999997"/>
    <x v="2"/>
    <x v="1"/>
    <x v="1"/>
  </r>
  <r>
    <s v="ZVQ-26122-859"/>
    <x v="573"/>
    <s v="77154-45038-IH"/>
    <s v="A-L-2.5"/>
    <x v="44"/>
    <n v="6"/>
    <x v="705"/>
    <s v="bfolomkinl8@yolasite.com"/>
    <x v="0"/>
    <s v="Fargo"/>
    <s v="Ara"/>
    <s v="L"/>
    <x v="2"/>
    <n v="29.784999999999997"/>
    <n v="178.70999999999998"/>
    <n v="2.6806499999999995"/>
    <n v="16.083899999999996"/>
    <x v="2"/>
    <x v="1"/>
    <x v="0"/>
  </r>
  <r>
    <s v="MIU-01481-194"/>
    <x v="574"/>
    <s v="08439-55669-AI"/>
    <s v="R-M-1"/>
    <x v="0"/>
    <n v="6"/>
    <x v="706"/>
    <s v="rpursglovel9@biblegateway.com"/>
    <x v="0"/>
    <s v="Garland"/>
    <s v="Rob"/>
    <s v="M"/>
    <x v="0"/>
    <n v="9.9499999999999993"/>
    <n v="59.699999999999996"/>
    <n v="0.59699999999999998"/>
    <n v="3.5819999999999999"/>
    <x v="0"/>
    <x v="0"/>
    <x v="0"/>
  </r>
  <r>
    <s v="MIU-01481-194"/>
    <x v="574"/>
    <s v="08439-55669-AI"/>
    <s v="A-L-0.5"/>
    <x v="42"/>
    <n v="2"/>
    <x v="706"/>
    <s v="rpursglovel9@biblegateway.com"/>
    <x v="0"/>
    <s v="Garland"/>
    <s v="Ara"/>
    <s v="L"/>
    <x v="1"/>
    <n v="7.77"/>
    <n v="15.54"/>
    <n v="0.69929999999999992"/>
    <n v="1.3985999999999998"/>
    <x v="2"/>
    <x v="1"/>
    <x v="0"/>
  </r>
  <r>
    <s v="UEA-72681-629"/>
    <x v="455"/>
    <s v="24972-55878-KX"/>
    <s v="A-L-2.5"/>
    <x v="44"/>
    <n v="3"/>
    <x v="696"/>
    <s v="fconstancekz@ifeng.com"/>
    <x v="0"/>
    <s v="Dallas"/>
    <s v="Ara"/>
    <s v="L"/>
    <x v="2"/>
    <n v="29.784999999999997"/>
    <n v="89.35499999999999"/>
    <n v="2.6806499999999995"/>
    <n v="8.0419499999999982"/>
    <x v="2"/>
    <x v="1"/>
    <x v="1"/>
  </r>
  <r>
    <s v="CVE-15042-481"/>
    <x v="575"/>
    <s v="24972-55878-KX"/>
    <s v="R-L-1"/>
    <x v="41"/>
    <n v="2"/>
    <x v="696"/>
    <s v="fconstancekz@ifeng.com"/>
    <x v="0"/>
    <s v="Dallas"/>
    <s v="Rob"/>
    <s v="L"/>
    <x v="0"/>
    <n v="11.95"/>
    <n v="23.9"/>
    <n v="0.71699999999999997"/>
    <n v="1.4339999999999999"/>
    <x v="0"/>
    <x v="1"/>
    <x v="1"/>
  </r>
  <r>
    <s v="EJA-79176-833"/>
    <x v="576"/>
    <s v="91509-62250-GN"/>
    <s v="R-M-2.5"/>
    <x v="13"/>
    <n v="6"/>
    <x v="707"/>
    <s v="deburahld@google.co.jp"/>
    <x v="2"/>
    <s v="Birmingham"/>
    <s v="Rob"/>
    <s v="M"/>
    <x v="2"/>
    <n v="22.884999999999998"/>
    <n v="137.31"/>
    <n v="1.3730999999999998"/>
    <n v="8.2385999999999981"/>
    <x v="0"/>
    <x v="0"/>
    <x v="1"/>
  </r>
  <r>
    <s v="AHQ-40440-522"/>
    <x v="577"/>
    <s v="83833-46106-ZC"/>
    <s v="A-D-1"/>
    <x v="9"/>
    <n v="1"/>
    <x v="708"/>
    <s v="mbrimilcombele@cnn.com"/>
    <x v="0"/>
    <s v="Springfield"/>
    <s v="Ara"/>
    <s v="D"/>
    <x v="0"/>
    <n v="9.9499999999999993"/>
    <n v="9.9499999999999993"/>
    <n v="0.89549999999999985"/>
    <n v="0.89549999999999985"/>
    <x v="2"/>
    <x v="2"/>
    <x v="1"/>
  </r>
  <r>
    <s v="TID-21626-411"/>
    <x v="578"/>
    <s v="19383-33606-PW"/>
    <s v="R-L-0.5"/>
    <x v="35"/>
    <n v="3"/>
    <x v="709"/>
    <s v="sbollamlf@list-manage.com"/>
    <x v="0"/>
    <s v="Littleton"/>
    <s v="Rob"/>
    <s v="L"/>
    <x v="1"/>
    <n v="7.169999999999999"/>
    <n v="21.509999999999998"/>
    <n v="0.43019999999999992"/>
    <n v="1.2905999999999997"/>
    <x v="0"/>
    <x v="1"/>
    <x v="1"/>
  </r>
  <r>
    <s v="RSR-96390-187"/>
    <x v="579"/>
    <s v="67052-76184-CB"/>
    <s v="E-M-1"/>
    <x v="3"/>
    <n v="6"/>
    <x v="710"/>
    <s v=""/>
    <x v="0"/>
    <s v="Baltimore"/>
    <s v="Exc"/>
    <s v="M"/>
    <x v="0"/>
    <n v="13.75"/>
    <n v="82.5"/>
    <n v="1.5125"/>
    <n v="9.0749999999999993"/>
    <x v="1"/>
    <x v="0"/>
    <x v="1"/>
  </r>
  <r>
    <s v="BZE-96093-118"/>
    <x v="91"/>
    <s v="43452-18035-DH"/>
    <s v="L-M-0.2"/>
    <x v="21"/>
    <n v="2"/>
    <x v="711"/>
    <s v="afilipczaklh@ning.com"/>
    <x v="1"/>
    <s v="Moycullen"/>
    <s v="Lib"/>
    <s v="M"/>
    <x v="3"/>
    <n v="4.3650000000000002"/>
    <n v="8.73"/>
    <n v="0.56745000000000001"/>
    <n v="1.1349"/>
    <x v="3"/>
    <x v="0"/>
    <x v="1"/>
  </r>
  <r>
    <s v="LOU-41819-242"/>
    <x v="272"/>
    <s v="88060-50676-MV"/>
    <s v="R-M-1"/>
    <x v="0"/>
    <n v="2"/>
    <x v="712"/>
    <s v=""/>
    <x v="0"/>
    <s v="Fort Lauderdale"/>
    <s v="Rob"/>
    <s v="M"/>
    <x v="0"/>
    <n v="9.9499999999999993"/>
    <n v="19.899999999999999"/>
    <n v="0.59699999999999998"/>
    <n v="1.194"/>
    <x v="0"/>
    <x v="0"/>
    <x v="0"/>
  </r>
  <r>
    <s v="FND-99527-640"/>
    <x v="65"/>
    <s v="89574-96203-EP"/>
    <s v="E-L-0.5"/>
    <x v="38"/>
    <n v="2"/>
    <x v="713"/>
    <s v="relnaughlj@comsenz.com"/>
    <x v="0"/>
    <s v="San Diego"/>
    <s v="Exc"/>
    <s v="L"/>
    <x v="1"/>
    <n v="8.91"/>
    <n v="17.82"/>
    <n v="0.98009999999999997"/>
    <n v="1.9601999999999999"/>
    <x v="1"/>
    <x v="1"/>
    <x v="0"/>
  </r>
  <r>
    <s v="ASG-27179-958"/>
    <x v="580"/>
    <s v="12607-75113-UV"/>
    <s v="A-M-0.5"/>
    <x v="19"/>
    <n v="3"/>
    <x v="714"/>
    <s v="jdeehanlk@about.me"/>
    <x v="0"/>
    <s v="Dallas"/>
    <s v="Ara"/>
    <s v="M"/>
    <x v="1"/>
    <n v="6.75"/>
    <n v="20.25"/>
    <n v="0.60749999999999993"/>
    <n v="1.8224999999999998"/>
    <x v="2"/>
    <x v="0"/>
    <x v="1"/>
  </r>
  <r>
    <s v="YKX-23510-272"/>
    <x v="581"/>
    <s v="56991-05510-PR"/>
    <s v="A-L-2.5"/>
    <x v="44"/>
    <n v="2"/>
    <x v="715"/>
    <s v="jedenll@e-recht24.de"/>
    <x v="0"/>
    <s v="Joliet"/>
    <s v="Ara"/>
    <s v="L"/>
    <x v="2"/>
    <n v="29.784999999999997"/>
    <n v="59.569999999999993"/>
    <n v="2.6806499999999995"/>
    <n v="5.3612999999999991"/>
    <x v="2"/>
    <x v="1"/>
    <x v="1"/>
  </r>
  <r>
    <s v="FSA-98650-921"/>
    <x v="489"/>
    <s v="01841-48191-NL"/>
    <s v="L-L-0.5"/>
    <x v="23"/>
    <n v="2"/>
    <x v="716"/>
    <s v="cjewsterlu@moonfruit.com"/>
    <x v="0"/>
    <s v="Dayton"/>
    <s v="Lib"/>
    <s v="L"/>
    <x v="1"/>
    <n v="9.51"/>
    <n v="19.02"/>
    <n v="1.2363"/>
    <n v="2.4725999999999999"/>
    <x v="3"/>
    <x v="1"/>
    <x v="0"/>
  </r>
  <r>
    <s v="ZUR-55774-294"/>
    <x v="234"/>
    <s v="33269-10023-CO"/>
    <s v="L-D-1"/>
    <x v="5"/>
    <n v="6"/>
    <x v="717"/>
    <s v="usoutherdenln@hao123.com"/>
    <x v="0"/>
    <s v="Clearwater"/>
    <s v="Lib"/>
    <s v="D"/>
    <x v="0"/>
    <n v="12.95"/>
    <n v="77.699999999999989"/>
    <n v="1.6835"/>
    <n v="10.100999999999999"/>
    <x v="3"/>
    <x v="2"/>
    <x v="0"/>
  </r>
  <r>
    <s v="FUO-99821-974"/>
    <x v="175"/>
    <s v="31245-81098-PJ"/>
    <s v="E-M-1"/>
    <x v="3"/>
    <n v="3"/>
    <x v="718"/>
    <s v=""/>
    <x v="0"/>
    <s v="Minneapolis"/>
    <s v="Exc"/>
    <s v="M"/>
    <x v="0"/>
    <n v="13.75"/>
    <n v="41.25"/>
    <n v="1.5125"/>
    <n v="4.5374999999999996"/>
    <x v="1"/>
    <x v="0"/>
    <x v="1"/>
  </r>
  <r>
    <s v="YVH-19865-819"/>
    <x v="582"/>
    <s v="08946-56610-IH"/>
    <s v="L-L-2.5"/>
    <x v="26"/>
    <n v="4"/>
    <x v="719"/>
    <s v="lburtenshawlp@shinystat.com"/>
    <x v="0"/>
    <s v="Lawrenceville"/>
    <s v="Lib"/>
    <s v="L"/>
    <x v="2"/>
    <n v="36.454999999999998"/>
    <n v="145.82"/>
    <n v="4.7391499999999995"/>
    <n v="18.956599999999998"/>
    <x v="3"/>
    <x v="1"/>
    <x v="1"/>
  </r>
  <r>
    <s v="NNF-47422-501"/>
    <x v="583"/>
    <s v="20260-32948-EB"/>
    <s v="E-L-0.2"/>
    <x v="46"/>
    <n v="6"/>
    <x v="720"/>
    <s v="agregorattilq@vistaprint.com"/>
    <x v="1"/>
    <s v="Malahide"/>
    <s v="Exc"/>
    <s v="L"/>
    <x v="3"/>
    <n v="4.4550000000000001"/>
    <n v="26.73"/>
    <n v="0.49004999999999999"/>
    <n v="2.9402999999999997"/>
    <x v="1"/>
    <x v="1"/>
    <x v="1"/>
  </r>
  <r>
    <s v="RJI-71409-490"/>
    <x v="548"/>
    <s v="31613-41626-KX"/>
    <s v="L-M-0.5"/>
    <x v="22"/>
    <n v="5"/>
    <x v="721"/>
    <s v="ccrosterlr@gov.uk"/>
    <x v="0"/>
    <s v="Tampa"/>
    <s v="Lib"/>
    <s v="M"/>
    <x v="1"/>
    <n v="8.73"/>
    <n v="43.650000000000006"/>
    <n v="1.1349"/>
    <n v="5.6745000000000001"/>
    <x v="3"/>
    <x v="0"/>
    <x v="0"/>
  </r>
  <r>
    <s v="UZL-46108-213"/>
    <x v="584"/>
    <s v="75961-20170-RD"/>
    <s v="L-L-1"/>
    <x v="32"/>
    <n v="2"/>
    <x v="722"/>
    <s v="gwhiteheadls@hp.com"/>
    <x v="0"/>
    <s v="Nashville"/>
    <s v="Lib"/>
    <s v="L"/>
    <x v="0"/>
    <n v="15.85"/>
    <n v="31.7"/>
    <n v="2.0605000000000002"/>
    <n v="4.1210000000000004"/>
    <x v="3"/>
    <x v="1"/>
    <x v="1"/>
  </r>
  <r>
    <s v="AOX-44467-109"/>
    <x v="64"/>
    <s v="72524-06410-KD"/>
    <s v="A-D-2.5"/>
    <x v="30"/>
    <n v="1"/>
    <x v="723"/>
    <s v="hjodrellelt@samsung.com"/>
    <x v="0"/>
    <s v="Miami"/>
    <s v="Ara"/>
    <s v="D"/>
    <x v="2"/>
    <n v="22.884999999999998"/>
    <n v="22.884999999999998"/>
    <n v="2.0596499999999995"/>
    <n v="2.0596499999999995"/>
    <x v="2"/>
    <x v="2"/>
    <x v="1"/>
  </r>
  <r>
    <s v="TZD-67261-174"/>
    <x v="585"/>
    <s v="01841-48191-NL"/>
    <s v="E-D-2.5"/>
    <x v="47"/>
    <n v="1"/>
    <x v="716"/>
    <s v="cjewsterlu@moonfruit.com"/>
    <x v="0"/>
    <s v="Dayton"/>
    <s v="Exc"/>
    <s v="D"/>
    <x v="2"/>
    <n v="27.945"/>
    <n v="27.945"/>
    <n v="3.07395"/>
    <n v="3.07395"/>
    <x v="1"/>
    <x v="2"/>
    <x v="0"/>
  </r>
  <r>
    <s v="TBU-64277-625"/>
    <x v="32"/>
    <s v="98918-34330-GY"/>
    <s v="E-M-1"/>
    <x v="3"/>
    <n v="6"/>
    <x v="724"/>
    <s v=""/>
    <x v="0"/>
    <s v="Chicago"/>
    <s v="Exc"/>
    <s v="M"/>
    <x v="0"/>
    <n v="13.75"/>
    <n v="82.5"/>
    <n v="1.5125"/>
    <n v="9.0749999999999993"/>
    <x v="1"/>
    <x v="0"/>
    <x v="0"/>
  </r>
  <r>
    <s v="TYP-85767-944"/>
    <x v="586"/>
    <s v="51497-50894-WU"/>
    <s v="R-M-2.5"/>
    <x v="13"/>
    <n v="2"/>
    <x v="725"/>
    <s v="knottramlw@odnoklassniki.ru"/>
    <x v="1"/>
    <s v="Arklow"/>
    <s v="Rob"/>
    <s v="M"/>
    <x v="2"/>
    <n v="22.884999999999998"/>
    <n v="45.769999999999996"/>
    <n v="1.3730999999999998"/>
    <n v="2.7461999999999995"/>
    <x v="0"/>
    <x v="0"/>
    <x v="0"/>
  </r>
  <r>
    <s v="GTT-73214-334"/>
    <x v="535"/>
    <s v="98636-90072-YE"/>
    <s v="A-L-1"/>
    <x v="2"/>
    <n v="6"/>
    <x v="726"/>
    <s v="nbuneylx@jugem.jp"/>
    <x v="0"/>
    <s v="Richmond"/>
    <s v="Ara"/>
    <s v="L"/>
    <x v="0"/>
    <n v="12.95"/>
    <n v="77.699999999999989"/>
    <n v="1.1655"/>
    <n v="6.9930000000000003"/>
    <x v="2"/>
    <x v="1"/>
    <x v="1"/>
  </r>
  <r>
    <s v="WAI-89905-069"/>
    <x v="587"/>
    <s v="47011-57815-HJ"/>
    <s v="A-L-0.5"/>
    <x v="42"/>
    <n v="3"/>
    <x v="727"/>
    <s v="smcshealy@photobucket.com"/>
    <x v="0"/>
    <s v="Olympia"/>
    <s v="Ara"/>
    <s v="L"/>
    <x v="1"/>
    <n v="7.77"/>
    <n v="23.31"/>
    <n v="0.69929999999999992"/>
    <n v="2.0978999999999997"/>
    <x v="2"/>
    <x v="1"/>
    <x v="1"/>
  </r>
  <r>
    <s v="OJL-96844-459"/>
    <x v="393"/>
    <s v="61253-98356-VD"/>
    <s v="L-L-0.2"/>
    <x v="7"/>
    <n v="5"/>
    <x v="728"/>
    <s v="khuddartlz@about.com"/>
    <x v="0"/>
    <s v="Arlington"/>
    <s v="Lib"/>
    <s v="L"/>
    <x v="3"/>
    <n v="4.7549999999999999"/>
    <n v="23.774999999999999"/>
    <n v="0.61814999999999998"/>
    <n v="3.0907499999999999"/>
    <x v="3"/>
    <x v="1"/>
    <x v="0"/>
  </r>
  <r>
    <s v="VGI-33205-360"/>
    <x v="588"/>
    <s v="96762-10814-DA"/>
    <s v="L-M-0.5"/>
    <x v="22"/>
    <n v="6"/>
    <x v="729"/>
    <s v="jgippesm0@cloudflare.com"/>
    <x v="2"/>
    <s v="Twyford"/>
    <s v="Lib"/>
    <s v="M"/>
    <x v="1"/>
    <n v="8.73"/>
    <n v="52.38"/>
    <n v="1.1349"/>
    <n v="6.8094000000000001"/>
    <x v="3"/>
    <x v="0"/>
    <x v="0"/>
  </r>
  <r>
    <s v="PCA-14081-576"/>
    <x v="15"/>
    <s v="63112-10870-LC"/>
    <s v="R-L-0.2"/>
    <x v="40"/>
    <n v="5"/>
    <x v="730"/>
    <s v="lwhittleseem1@e-recht24.de"/>
    <x v="0"/>
    <s v="Roanoke"/>
    <s v="Rob"/>
    <s v="L"/>
    <x v="3"/>
    <n v="3.5849999999999995"/>
    <n v="17.924999999999997"/>
    <n v="0.21509999999999996"/>
    <n v="1.0754999999999999"/>
    <x v="0"/>
    <x v="1"/>
    <x v="1"/>
  </r>
  <r>
    <s v="SCS-67069-962"/>
    <x v="507"/>
    <s v="21403-49423-PD"/>
    <s v="A-L-2.5"/>
    <x v="44"/>
    <n v="5"/>
    <x v="731"/>
    <s v="gtrengrovem2@elpais.com"/>
    <x v="0"/>
    <s v="New Hyde Park"/>
    <s v="Ara"/>
    <s v="L"/>
    <x v="2"/>
    <n v="29.784999999999997"/>
    <n v="148.92499999999998"/>
    <n v="2.6806499999999995"/>
    <n v="13.403249999999998"/>
    <x v="2"/>
    <x v="1"/>
    <x v="1"/>
  </r>
  <r>
    <s v="BDM-03174-485"/>
    <x v="533"/>
    <s v="29581-13303-VB"/>
    <s v="R-L-0.5"/>
    <x v="35"/>
    <n v="4"/>
    <x v="732"/>
    <s v="wcalderom3@stumbleupon.com"/>
    <x v="0"/>
    <s v="Anaheim"/>
    <s v="Rob"/>
    <s v="L"/>
    <x v="1"/>
    <n v="7.169999999999999"/>
    <n v="28.679999999999996"/>
    <n v="0.43019999999999992"/>
    <n v="1.7207999999999997"/>
    <x v="0"/>
    <x v="1"/>
    <x v="1"/>
  </r>
  <r>
    <s v="UJV-32333-364"/>
    <x v="589"/>
    <s v="86110-83695-YS"/>
    <s v="L-L-0.5"/>
    <x v="23"/>
    <n v="1"/>
    <x v="733"/>
    <s v=""/>
    <x v="0"/>
    <s v="Lexington"/>
    <s v="Lib"/>
    <s v="L"/>
    <x v="1"/>
    <n v="9.51"/>
    <n v="9.51"/>
    <n v="1.2363"/>
    <n v="1.2363"/>
    <x v="3"/>
    <x v="1"/>
    <x v="1"/>
  </r>
  <r>
    <s v="FLI-11493-954"/>
    <x v="590"/>
    <s v="80454-42225-FT"/>
    <s v="A-L-0.5"/>
    <x v="42"/>
    <n v="4"/>
    <x v="734"/>
    <s v="jkennicottm5@yahoo.co.jp"/>
    <x v="0"/>
    <s v="Tampa"/>
    <s v="Ara"/>
    <s v="L"/>
    <x v="1"/>
    <n v="7.77"/>
    <n v="31.08"/>
    <n v="0.69929999999999992"/>
    <n v="2.7971999999999997"/>
    <x v="2"/>
    <x v="1"/>
    <x v="1"/>
  </r>
  <r>
    <s v="IWL-13117-537"/>
    <x v="457"/>
    <s v="29129-60664-KO"/>
    <s v="R-D-0.2"/>
    <x v="25"/>
    <n v="3"/>
    <x v="735"/>
    <s v="gruggenm6@nymag.com"/>
    <x v="0"/>
    <s v="San Jose"/>
    <s v="Rob"/>
    <s v="D"/>
    <x v="3"/>
    <n v="2.6849999999999996"/>
    <n v="8.0549999999999997"/>
    <n v="0.16109999999999997"/>
    <n v="0.4832999999999999"/>
    <x v="0"/>
    <x v="2"/>
    <x v="0"/>
  </r>
  <r>
    <s v="OAM-76916-748"/>
    <x v="591"/>
    <s v="63025-62939-AN"/>
    <s v="E-D-1"/>
    <x v="45"/>
    <n v="3"/>
    <x v="736"/>
    <s v=""/>
    <x v="0"/>
    <s v="Washington"/>
    <s v="Exc"/>
    <s v="D"/>
    <x v="0"/>
    <n v="12.15"/>
    <n v="36.450000000000003"/>
    <n v="1.3365"/>
    <n v="4.0095000000000001"/>
    <x v="1"/>
    <x v="2"/>
    <x v="0"/>
  </r>
  <r>
    <s v="UMB-11223-710"/>
    <x v="592"/>
    <s v="49012-12987-QT"/>
    <s v="R-D-0.2"/>
    <x v="25"/>
    <n v="6"/>
    <x v="737"/>
    <s v="mfrightm8@harvard.edu"/>
    <x v="1"/>
    <s v="Daingean"/>
    <s v="Rob"/>
    <s v="D"/>
    <x v="3"/>
    <n v="2.6849999999999996"/>
    <n v="16.11"/>
    <n v="0.16109999999999997"/>
    <n v="0.96659999999999979"/>
    <x v="0"/>
    <x v="2"/>
    <x v="1"/>
  </r>
  <r>
    <s v="LXR-09892-726"/>
    <x v="402"/>
    <s v="50924-94200-SQ"/>
    <s v="R-D-2.5"/>
    <x v="11"/>
    <n v="2"/>
    <x v="738"/>
    <s v="btartem9@aol.com"/>
    <x v="0"/>
    <s v="Olympia"/>
    <s v="Rob"/>
    <s v="D"/>
    <x v="2"/>
    <n v="20.584999999999997"/>
    <n v="41.169999999999995"/>
    <n v="1.2350999999999999"/>
    <n v="2.4701999999999997"/>
    <x v="0"/>
    <x v="2"/>
    <x v="0"/>
  </r>
  <r>
    <s v="QXX-89943-393"/>
    <x v="593"/>
    <s v="15673-18812-IU"/>
    <s v="R-D-0.2"/>
    <x v="25"/>
    <n v="4"/>
    <x v="739"/>
    <s v="ckrzysztofiakma@skyrock.com"/>
    <x v="0"/>
    <s v="Mesquite"/>
    <s v="Rob"/>
    <s v="D"/>
    <x v="3"/>
    <n v="2.6849999999999996"/>
    <n v="10.739999999999998"/>
    <n v="0.16109999999999997"/>
    <n v="0.64439999999999986"/>
    <x v="0"/>
    <x v="2"/>
    <x v="1"/>
  </r>
  <r>
    <s v="WVS-57822-366"/>
    <x v="594"/>
    <s v="52151-75971-YY"/>
    <s v="E-M-2.5"/>
    <x v="28"/>
    <n v="4"/>
    <x v="740"/>
    <s v="dpenquetmb@diigo.com"/>
    <x v="0"/>
    <s v="Sacramento"/>
    <s v="Exc"/>
    <s v="M"/>
    <x v="2"/>
    <n v="31.624999999999996"/>
    <n v="126.49999999999999"/>
    <n v="3.4787499999999998"/>
    <n v="13.914999999999999"/>
    <x v="1"/>
    <x v="0"/>
    <x v="1"/>
  </r>
  <r>
    <s v="CLJ-23403-689"/>
    <x v="77"/>
    <s v="19413-02045-CG"/>
    <s v="R-L-1"/>
    <x v="41"/>
    <n v="2"/>
    <x v="741"/>
    <s v=""/>
    <x v="2"/>
    <s v="Newton"/>
    <s v="Rob"/>
    <s v="L"/>
    <x v="0"/>
    <n v="11.95"/>
    <n v="23.9"/>
    <n v="0.71699999999999997"/>
    <n v="1.4339999999999999"/>
    <x v="0"/>
    <x v="1"/>
    <x v="1"/>
  </r>
  <r>
    <s v="XNU-83276-288"/>
    <x v="595"/>
    <s v="98185-92775-KT"/>
    <s v="R-M-0.5"/>
    <x v="8"/>
    <n v="1"/>
    <x v="742"/>
    <s v=""/>
    <x v="0"/>
    <s v="Monticello"/>
    <s v="Rob"/>
    <s v="M"/>
    <x v="1"/>
    <n v="5.97"/>
    <n v="5.97"/>
    <n v="0.35819999999999996"/>
    <n v="0.35819999999999996"/>
    <x v="0"/>
    <x v="0"/>
    <x v="1"/>
  </r>
  <r>
    <s v="YOG-94666-679"/>
    <x v="596"/>
    <s v="86991-53901-AT"/>
    <s v="L-D-0.2"/>
    <x v="12"/>
    <n v="2"/>
    <x v="743"/>
    <s v=""/>
    <x v="2"/>
    <s v="Kinloch"/>
    <s v="Lib"/>
    <s v="D"/>
    <x v="3"/>
    <n v="3.8849999999999998"/>
    <n v="7.77"/>
    <n v="0.50505"/>
    <n v="1.0101"/>
    <x v="3"/>
    <x v="2"/>
    <x v="0"/>
  </r>
  <r>
    <s v="KHG-33953-115"/>
    <x v="514"/>
    <s v="78226-97287-JI"/>
    <s v="L-D-0.5"/>
    <x v="31"/>
    <n v="3"/>
    <x v="744"/>
    <s v="kferrettimf@huffingtonpost.com"/>
    <x v="1"/>
    <s v="Balrothery"/>
    <s v="Lib"/>
    <s v="D"/>
    <x v="1"/>
    <n v="7.77"/>
    <n v="23.31"/>
    <n v="1.0101"/>
    <n v="3.0303"/>
    <x v="3"/>
    <x v="2"/>
    <x v="1"/>
  </r>
  <r>
    <s v="MHD-95615-696"/>
    <x v="54"/>
    <s v="27930-59250-JT"/>
    <s v="R-L-2.5"/>
    <x v="4"/>
    <n v="5"/>
    <x v="745"/>
    <s v=""/>
    <x v="0"/>
    <s v="Houston"/>
    <s v="Rob"/>
    <s v="L"/>
    <x v="2"/>
    <n v="27.484999999999996"/>
    <n v="137.42499999999998"/>
    <n v="1.6490999999999998"/>
    <n v="8.2454999999999998"/>
    <x v="0"/>
    <x v="1"/>
    <x v="1"/>
  </r>
  <r>
    <s v="HBH-64794-080"/>
    <x v="597"/>
    <s v="40560-18556-YE"/>
    <s v="R-D-0.2"/>
    <x v="25"/>
    <n v="3"/>
    <x v="746"/>
    <s v=""/>
    <x v="0"/>
    <s v="El Paso"/>
    <s v="Rob"/>
    <s v="D"/>
    <x v="3"/>
    <n v="2.6849999999999996"/>
    <n v="8.0549999999999997"/>
    <n v="0.16109999999999997"/>
    <n v="0.4832999999999999"/>
    <x v="0"/>
    <x v="2"/>
    <x v="0"/>
  </r>
  <r>
    <s v="CNJ-56058-223"/>
    <x v="105"/>
    <s v="40780-22081-LX"/>
    <s v="L-L-0.5"/>
    <x v="23"/>
    <n v="3"/>
    <x v="747"/>
    <s v="abalsdonemi@toplist.cz"/>
    <x v="0"/>
    <s v="Largo"/>
    <s v="Lib"/>
    <s v="L"/>
    <x v="1"/>
    <n v="9.51"/>
    <n v="28.53"/>
    <n v="1.2363"/>
    <n v="3.7088999999999999"/>
    <x v="3"/>
    <x v="1"/>
    <x v="1"/>
  </r>
  <r>
    <s v="KHO-27106-786"/>
    <x v="210"/>
    <s v="01603-43789-TN"/>
    <s v="A-M-1"/>
    <x v="17"/>
    <n v="6"/>
    <x v="748"/>
    <s v="bromeramj@list-manage.com"/>
    <x v="1"/>
    <s v="Foxrock"/>
    <s v="Ara"/>
    <s v="M"/>
    <x v="0"/>
    <n v="11.25"/>
    <n v="67.5"/>
    <n v="1.0125"/>
    <n v="6.0749999999999993"/>
    <x v="2"/>
    <x v="0"/>
    <x v="0"/>
  </r>
  <r>
    <s v="KHO-27106-786"/>
    <x v="210"/>
    <s v="01603-43789-TN"/>
    <s v="L-D-2.5"/>
    <x v="27"/>
    <n v="6"/>
    <x v="748"/>
    <s v="bromeramj@list-manage.com"/>
    <x v="1"/>
    <s v="Foxrock"/>
    <s v="Lib"/>
    <s v="D"/>
    <x v="2"/>
    <n v="29.784999999999997"/>
    <n v="178.70999999999998"/>
    <n v="3.8720499999999998"/>
    <n v="23.232299999999999"/>
    <x v="3"/>
    <x v="2"/>
    <x v="0"/>
  </r>
  <r>
    <s v="YAC-50329-982"/>
    <x v="598"/>
    <s v="75419-92838-TI"/>
    <s v="E-M-2.5"/>
    <x v="28"/>
    <n v="1"/>
    <x v="749"/>
    <s v="cbrydeml@tuttocitta.it"/>
    <x v="0"/>
    <s v="Oklahoma City"/>
    <s v="Exc"/>
    <s v="M"/>
    <x v="2"/>
    <n v="31.624999999999996"/>
    <n v="31.624999999999996"/>
    <n v="3.4787499999999998"/>
    <n v="3.4787499999999998"/>
    <x v="1"/>
    <x v="0"/>
    <x v="0"/>
  </r>
  <r>
    <s v="VVL-95291-039"/>
    <x v="360"/>
    <s v="96516-97464-MF"/>
    <s v="E-L-0.2"/>
    <x v="46"/>
    <n v="2"/>
    <x v="750"/>
    <s v="senefermm@blog.com"/>
    <x v="0"/>
    <s v="Washington"/>
    <s v="Exc"/>
    <s v="L"/>
    <x v="3"/>
    <n v="4.4550000000000001"/>
    <n v="8.91"/>
    <n v="0.49004999999999999"/>
    <n v="0.98009999999999997"/>
    <x v="1"/>
    <x v="1"/>
    <x v="1"/>
  </r>
  <r>
    <s v="VUT-20974-364"/>
    <x v="62"/>
    <s v="90285-56295-PO"/>
    <s v="R-M-0.5"/>
    <x v="8"/>
    <n v="6"/>
    <x v="751"/>
    <s v="lhaggerstonemn@independent.co.uk"/>
    <x v="0"/>
    <s v="Atlanta"/>
    <s v="Rob"/>
    <s v="M"/>
    <x v="1"/>
    <n v="5.97"/>
    <n v="35.82"/>
    <n v="0.35819999999999996"/>
    <n v="2.1491999999999996"/>
    <x v="0"/>
    <x v="0"/>
    <x v="1"/>
  </r>
  <r>
    <s v="SFC-34054-213"/>
    <x v="599"/>
    <s v="08100-71102-HQ"/>
    <s v="L-L-0.5"/>
    <x v="23"/>
    <n v="4"/>
    <x v="752"/>
    <s v="mgundrymo@omniture.com"/>
    <x v="1"/>
    <s v="Castlebridge"/>
    <s v="Lib"/>
    <s v="L"/>
    <x v="1"/>
    <n v="9.51"/>
    <n v="38.04"/>
    <n v="1.2363"/>
    <n v="4.9451999999999998"/>
    <x v="3"/>
    <x v="1"/>
    <x v="1"/>
  </r>
  <r>
    <s v="UDS-04807-593"/>
    <x v="600"/>
    <s v="84074-28110-OV"/>
    <s v="L-D-0.5"/>
    <x v="31"/>
    <n v="2"/>
    <x v="753"/>
    <s v="bwellanmp@cafepress.com"/>
    <x v="0"/>
    <s v="Buffalo"/>
    <s v="Lib"/>
    <s v="D"/>
    <x v="1"/>
    <n v="7.77"/>
    <n v="15.54"/>
    <n v="1.0101"/>
    <n v="2.0202"/>
    <x v="3"/>
    <x v="2"/>
    <x v="1"/>
  </r>
  <r>
    <s v="FWE-98471-488"/>
    <x v="601"/>
    <s v="27930-59250-JT"/>
    <s v="L-L-1"/>
    <x v="32"/>
    <n v="5"/>
    <x v="745"/>
    <s v=""/>
    <x v="0"/>
    <s v="Houston"/>
    <s v="Lib"/>
    <s v="L"/>
    <x v="0"/>
    <n v="15.85"/>
    <n v="79.25"/>
    <n v="2.0605000000000002"/>
    <n v="10.302500000000002"/>
    <x v="3"/>
    <x v="1"/>
    <x v="1"/>
  </r>
  <r>
    <s v="RAU-17060-674"/>
    <x v="602"/>
    <s v="12747-63766-EU"/>
    <s v="L-L-0.2"/>
    <x v="7"/>
    <n v="1"/>
    <x v="754"/>
    <s v="catchesonmr@xinhuanet.com"/>
    <x v="0"/>
    <s v="Washington"/>
    <s v="Lib"/>
    <s v="L"/>
    <x v="3"/>
    <n v="4.7549999999999999"/>
    <n v="4.7549999999999999"/>
    <n v="0.61814999999999998"/>
    <n v="0.61814999999999998"/>
    <x v="3"/>
    <x v="1"/>
    <x v="0"/>
  </r>
  <r>
    <s v="AOL-13866-711"/>
    <x v="603"/>
    <s v="83490-88357-LJ"/>
    <s v="E-M-1"/>
    <x v="3"/>
    <n v="4"/>
    <x v="755"/>
    <s v="estentonms@google.it"/>
    <x v="0"/>
    <s v="Austin"/>
    <s v="Exc"/>
    <s v="M"/>
    <x v="0"/>
    <n v="13.75"/>
    <n v="55"/>
    <n v="1.5125"/>
    <n v="6.05"/>
    <x v="1"/>
    <x v="0"/>
    <x v="0"/>
  </r>
  <r>
    <s v="NOA-79645-377"/>
    <x v="604"/>
    <s v="53729-30320-XZ"/>
    <s v="R-D-0.5"/>
    <x v="34"/>
    <n v="5"/>
    <x v="756"/>
    <s v="etrippmt@wp.com"/>
    <x v="0"/>
    <s v="Mesa"/>
    <s v="Rob"/>
    <s v="D"/>
    <x v="1"/>
    <n v="5.3699999999999992"/>
    <n v="26.849999999999994"/>
    <n v="0.32219999999999993"/>
    <n v="1.6109999999999998"/>
    <x v="0"/>
    <x v="2"/>
    <x v="1"/>
  </r>
  <r>
    <s v="KMS-49214-806"/>
    <x v="605"/>
    <s v="50384-52703-LA"/>
    <s v="E-L-2.5"/>
    <x v="10"/>
    <n v="4"/>
    <x v="757"/>
    <s v="lmacmanusmu@imdb.com"/>
    <x v="0"/>
    <s v="Savannah"/>
    <s v="Exc"/>
    <s v="L"/>
    <x v="2"/>
    <n v="34.154999999999994"/>
    <n v="136.61999999999998"/>
    <n v="3.7570499999999996"/>
    <n v="15.028199999999998"/>
    <x v="1"/>
    <x v="1"/>
    <x v="1"/>
  </r>
  <r>
    <s v="ABK-08091-531"/>
    <x v="606"/>
    <s v="53864-36201-FG"/>
    <s v="L-L-1"/>
    <x v="32"/>
    <n v="3"/>
    <x v="758"/>
    <s v="tbenediktovichmv@ebay.com"/>
    <x v="0"/>
    <s v="Albuquerque"/>
    <s v="Lib"/>
    <s v="L"/>
    <x v="0"/>
    <n v="15.85"/>
    <n v="47.55"/>
    <n v="2.0605000000000002"/>
    <n v="6.1815000000000007"/>
    <x v="3"/>
    <x v="1"/>
    <x v="0"/>
  </r>
  <r>
    <s v="GPT-67705-953"/>
    <x v="446"/>
    <s v="70631-33225-MZ"/>
    <s v="A-M-0.2"/>
    <x v="14"/>
    <n v="5"/>
    <x v="759"/>
    <s v="cbournermw@chronoengine.com"/>
    <x v="0"/>
    <s v="Charlotte"/>
    <s v="Ara"/>
    <s v="M"/>
    <x v="3"/>
    <n v="3.375"/>
    <n v="16.875"/>
    <n v="0.30374999999999996"/>
    <n v="1.5187499999999998"/>
    <x v="2"/>
    <x v="0"/>
    <x v="0"/>
  </r>
  <r>
    <s v="JNA-21450-177"/>
    <x v="18"/>
    <s v="54798-14109-HC"/>
    <s v="A-D-1"/>
    <x v="9"/>
    <n v="3"/>
    <x v="760"/>
    <s v="oskermen3@hatena.ne.jp"/>
    <x v="0"/>
    <s v="Oklahoma City"/>
    <s v="Ara"/>
    <s v="D"/>
    <x v="0"/>
    <n v="9.9499999999999993"/>
    <n v="29.849999999999998"/>
    <n v="0.89549999999999985"/>
    <n v="2.6864999999999997"/>
    <x v="2"/>
    <x v="2"/>
    <x v="0"/>
  </r>
  <r>
    <s v="MPQ-23421-608"/>
    <x v="180"/>
    <s v="08023-52962-ET"/>
    <s v="E-M-0.5"/>
    <x v="1"/>
    <n v="5"/>
    <x v="761"/>
    <s v="kheddanmy@icq.com"/>
    <x v="0"/>
    <s v="Pensacola"/>
    <s v="Exc"/>
    <s v="M"/>
    <x v="1"/>
    <n v="8.25"/>
    <n v="41.25"/>
    <n v="0.90749999999999997"/>
    <n v="4.5374999999999996"/>
    <x v="1"/>
    <x v="0"/>
    <x v="0"/>
  </r>
  <r>
    <s v="NLI-63891-565"/>
    <x v="580"/>
    <s v="41899-00283-VK"/>
    <s v="E-M-0.2"/>
    <x v="18"/>
    <n v="5"/>
    <x v="762"/>
    <s v="ichartersmz@abc.net.au"/>
    <x v="0"/>
    <s v="Washington"/>
    <s v="Exc"/>
    <s v="M"/>
    <x v="3"/>
    <n v="4.125"/>
    <n v="20.625"/>
    <n v="0.45374999999999999"/>
    <n v="2.2687499999999998"/>
    <x v="1"/>
    <x v="0"/>
    <x v="1"/>
  </r>
  <r>
    <s v="HHF-36647-854"/>
    <x v="453"/>
    <s v="39011-18412-GR"/>
    <s v="A-D-2.5"/>
    <x v="30"/>
    <n v="6"/>
    <x v="763"/>
    <s v="aroubertn0@tmall.com"/>
    <x v="0"/>
    <s v="Port Saint Lucie"/>
    <s v="Ara"/>
    <s v="D"/>
    <x v="2"/>
    <n v="22.884999999999998"/>
    <n v="137.31"/>
    <n v="2.0596499999999995"/>
    <n v="12.357899999999997"/>
    <x v="2"/>
    <x v="2"/>
    <x v="0"/>
  </r>
  <r>
    <s v="SBN-16537-046"/>
    <x v="259"/>
    <s v="60255-12579-PZ"/>
    <s v="A-D-0.2"/>
    <x v="16"/>
    <n v="1"/>
    <x v="764"/>
    <s v="hmairsn1@so-net.ne.jp"/>
    <x v="0"/>
    <s v="Huntington"/>
    <s v="Ara"/>
    <s v="D"/>
    <x v="3"/>
    <n v="2.9849999999999999"/>
    <n v="2.9849999999999999"/>
    <n v="0.26865"/>
    <n v="0.26865"/>
    <x v="2"/>
    <x v="2"/>
    <x v="1"/>
  </r>
  <r>
    <s v="XZD-44484-632"/>
    <x v="607"/>
    <s v="80541-38332-BP"/>
    <s v="E-M-1"/>
    <x v="3"/>
    <n v="2"/>
    <x v="765"/>
    <s v="hrainforthn2@blog.com"/>
    <x v="0"/>
    <s v="Philadelphia"/>
    <s v="Exc"/>
    <s v="M"/>
    <x v="0"/>
    <n v="13.75"/>
    <n v="27.5"/>
    <n v="1.5125"/>
    <n v="3.0249999999999999"/>
    <x v="1"/>
    <x v="0"/>
    <x v="1"/>
  </r>
  <r>
    <s v="XZD-44484-632"/>
    <x v="607"/>
    <s v="80541-38332-BP"/>
    <s v="A-D-0.2"/>
    <x v="16"/>
    <n v="2"/>
    <x v="765"/>
    <s v="hrainforthn2@blog.com"/>
    <x v="0"/>
    <s v="Philadelphia"/>
    <s v="Ara"/>
    <s v="D"/>
    <x v="3"/>
    <n v="2.9849999999999999"/>
    <n v="5.97"/>
    <n v="0.26865"/>
    <n v="0.5373"/>
    <x v="2"/>
    <x v="2"/>
    <x v="1"/>
  </r>
  <r>
    <s v="IKQ-39946-768"/>
    <x v="385"/>
    <s v="72778-50968-UQ"/>
    <s v="R-M-1"/>
    <x v="0"/>
    <n v="6"/>
    <x v="766"/>
    <s v="ijespern4@theglobeandmail.com"/>
    <x v="0"/>
    <s v="Naples"/>
    <s v="Rob"/>
    <s v="M"/>
    <x v="0"/>
    <n v="9.9499999999999993"/>
    <n v="59.699999999999996"/>
    <n v="0.59699999999999998"/>
    <n v="3.5819999999999999"/>
    <x v="0"/>
    <x v="0"/>
    <x v="1"/>
  </r>
  <r>
    <s v="KMB-95211-174"/>
    <x v="608"/>
    <s v="23941-30203-MO"/>
    <s v="R-D-2.5"/>
    <x v="11"/>
    <n v="4"/>
    <x v="767"/>
    <s v="ldwerryhousen5@gravatar.com"/>
    <x v="0"/>
    <s v="Fort Worth"/>
    <s v="Rob"/>
    <s v="D"/>
    <x v="2"/>
    <n v="20.584999999999997"/>
    <n v="82.339999999999989"/>
    <n v="1.2350999999999999"/>
    <n v="4.9403999999999995"/>
    <x v="0"/>
    <x v="2"/>
    <x v="0"/>
  </r>
  <r>
    <s v="QWY-99467-368"/>
    <x v="609"/>
    <s v="96434-50068-DZ"/>
    <s v="A-D-2.5"/>
    <x v="30"/>
    <n v="1"/>
    <x v="768"/>
    <s v="nbroomern6@examiner.com"/>
    <x v="0"/>
    <s v="Omaha"/>
    <s v="Ara"/>
    <s v="D"/>
    <x v="2"/>
    <n v="22.884999999999998"/>
    <n v="22.884999999999998"/>
    <n v="2.0596499999999995"/>
    <n v="2.0596499999999995"/>
    <x v="2"/>
    <x v="2"/>
    <x v="1"/>
  </r>
  <r>
    <s v="SRG-76791-614"/>
    <x v="147"/>
    <s v="11729-74102-XB"/>
    <s v="E-L-0.5"/>
    <x v="38"/>
    <n v="1"/>
    <x v="769"/>
    <s v="kthoumassonn7@bloglovin.com"/>
    <x v="0"/>
    <s v="Tucson"/>
    <s v="Exc"/>
    <s v="L"/>
    <x v="1"/>
    <n v="8.91"/>
    <n v="8.91"/>
    <n v="0.98009999999999997"/>
    <n v="0.98009999999999997"/>
    <x v="1"/>
    <x v="1"/>
    <x v="0"/>
  </r>
  <r>
    <s v="VSN-94485-621"/>
    <x v="172"/>
    <s v="88116-12604-TE"/>
    <s v="A-D-0.2"/>
    <x v="16"/>
    <n v="4"/>
    <x v="770"/>
    <s v="fhabberghamn8@discovery.com"/>
    <x v="0"/>
    <s v="Sparks"/>
    <s v="Ara"/>
    <s v="D"/>
    <x v="3"/>
    <n v="2.9849999999999999"/>
    <n v="11.94"/>
    <n v="0.26865"/>
    <n v="1.0746"/>
    <x v="2"/>
    <x v="2"/>
    <x v="1"/>
  </r>
  <r>
    <s v="UFZ-24348-219"/>
    <x v="610"/>
    <s v="27930-59250-JT"/>
    <s v="L-M-2.5"/>
    <x v="43"/>
    <n v="3"/>
    <x v="745"/>
    <s v=""/>
    <x v="0"/>
    <s v="Houston"/>
    <s v="Lib"/>
    <s v="M"/>
    <x v="2"/>
    <n v="33.464999999999996"/>
    <n v="100.39499999999998"/>
    <n v="4.3504499999999995"/>
    <n v="13.051349999999999"/>
    <x v="3"/>
    <x v="0"/>
    <x v="1"/>
  </r>
  <r>
    <s v="UKS-93055-397"/>
    <x v="611"/>
    <s v="13082-41034-PD"/>
    <s v="A-D-2.5"/>
    <x v="30"/>
    <n v="5"/>
    <x v="771"/>
    <s v="ravrashinna@tamu.edu"/>
    <x v="0"/>
    <s v="Washington"/>
    <s v="Ara"/>
    <s v="D"/>
    <x v="2"/>
    <n v="22.884999999999998"/>
    <n v="114.42499999999998"/>
    <n v="2.0596499999999995"/>
    <n v="10.298249999999998"/>
    <x v="2"/>
    <x v="2"/>
    <x v="1"/>
  </r>
  <r>
    <s v="AVH-56062-335"/>
    <x v="612"/>
    <s v="18082-74419-QH"/>
    <s v="E-M-0.5"/>
    <x v="1"/>
    <n v="5"/>
    <x v="772"/>
    <s v="mdoidgenb@etsy.com"/>
    <x v="0"/>
    <s v="Salinas"/>
    <s v="Exc"/>
    <s v="M"/>
    <x v="1"/>
    <n v="8.25"/>
    <n v="41.25"/>
    <n v="0.90749999999999997"/>
    <n v="4.5374999999999996"/>
    <x v="1"/>
    <x v="0"/>
    <x v="1"/>
  </r>
  <r>
    <s v="HGE-19842-613"/>
    <x v="613"/>
    <s v="49401-45041-ZU"/>
    <s v="R-L-0.5"/>
    <x v="35"/>
    <n v="4"/>
    <x v="773"/>
    <s v="jedinboronc@reverbnation.com"/>
    <x v="0"/>
    <s v="Fort Lauderdale"/>
    <s v="Rob"/>
    <s v="L"/>
    <x v="1"/>
    <n v="7.169999999999999"/>
    <n v="28.679999999999996"/>
    <n v="0.43019999999999992"/>
    <n v="1.7207999999999997"/>
    <x v="0"/>
    <x v="1"/>
    <x v="0"/>
  </r>
  <r>
    <s v="WBA-85905-175"/>
    <x v="611"/>
    <s v="41252-45992-VS"/>
    <s v="L-M-0.2"/>
    <x v="21"/>
    <n v="1"/>
    <x v="774"/>
    <s v="ttewelsonnd@cdbaby.com"/>
    <x v="0"/>
    <s v="El Paso"/>
    <s v="Lib"/>
    <s v="M"/>
    <x v="3"/>
    <n v="4.3650000000000002"/>
    <n v="4.3650000000000002"/>
    <n v="0.56745000000000001"/>
    <n v="0.56745000000000001"/>
    <x v="3"/>
    <x v="0"/>
    <x v="1"/>
  </r>
  <r>
    <s v="DZI-35365-596"/>
    <x v="493"/>
    <s v="54798-14109-HC"/>
    <s v="E-M-0.2"/>
    <x v="18"/>
    <n v="2"/>
    <x v="760"/>
    <s v="oskermen3@hatena.ne.jp"/>
    <x v="0"/>
    <s v="Oklahoma City"/>
    <s v="Exc"/>
    <s v="M"/>
    <x v="3"/>
    <n v="4.125"/>
    <n v="8.25"/>
    <n v="0.45374999999999999"/>
    <n v="0.90749999999999997"/>
    <x v="1"/>
    <x v="0"/>
    <x v="0"/>
  </r>
  <r>
    <s v="XIR-88982-743"/>
    <x v="614"/>
    <s v="00852-54571-WP"/>
    <s v="E-M-0.2"/>
    <x v="18"/>
    <n v="2"/>
    <x v="775"/>
    <s v="ddrewittnf@mapquest.com"/>
    <x v="0"/>
    <s v="Alexandria"/>
    <s v="Exc"/>
    <s v="M"/>
    <x v="3"/>
    <n v="4.125"/>
    <n v="8.25"/>
    <n v="0.45374999999999999"/>
    <n v="0.90749999999999997"/>
    <x v="1"/>
    <x v="0"/>
    <x v="0"/>
  </r>
  <r>
    <s v="VUC-72395-865"/>
    <x v="151"/>
    <s v="13321-57602-GK"/>
    <s v="A-D-0.5"/>
    <x v="20"/>
    <n v="6"/>
    <x v="776"/>
    <s v="agladhillng@stanford.edu"/>
    <x v="0"/>
    <s v="Baltimore"/>
    <s v="Ara"/>
    <s v="D"/>
    <x v="1"/>
    <n v="5.97"/>
    <n v="35.82"/>
    <n v="0.5373"/>
    <n v="3.2237999999999998"/>
    <x v="2"/>
    <x v="2"/>
    <x v="0"/>
  </r>
  <r>
    <s v="BQJ-44755-910"/>
    <x v="489"/>
    <s v="75006-89922-VW"/>
    <s v="E-D-2.5"/>
    <x v="47"/>
    <n v="6"/>
    <x v="777"/>
    <s v="mlorineznh@whitehouse.gov"/>
    <x v="0"/>
    <s v="Evansville"/>
    <s v="Exc"/>
    <s v="D"/>
    <x v="2"/>
    <n v="27.945"/>
    <n v="167.67000000000002"/>
    <n v="3.07395"/>
    <n v="18.4437"/>
    <x v="1"/>
    <x v="2"/>
    <x v="1"/>
  </r>
  <r>
    <s v="JKC-64636-831"/>
    <x v="615"/>
    <s v="52098-80103-FD"/>
    <s v="A-M-2.5"/>
    <x v="37"/>
    <n v="2"/>
    <x v="778"/>
    <s v=""/>
    <x v="0"/>
    <s v="Lawrenceville"/>
    <s v="Ara"/>
    <s v="M"/>
    <x v="2"/>
    <n v="25.874999999999996"/>
    <n v="51.749999999999993"/>
    <n v="2.3287499999999994"/>
    <n v="4.6574999999999989"/>
    <x v="2"/>
    <x v="0"/>
    <x v="0"/>
  </r>
  <r>
    <s v="ZKI-78561-066"/>
    <x v="616"/>
    <s v="60121-12432-VU"/>
    <s v="A-D-0.2"/>
    <x v="16"/>
    <n v="3"/>
    <x v="779"/>
    <s v="mvannj@wikipedia.org"/>
    <x v="0"/>
    <s v="Mobile"/>
    <s v="Ara"/>
    <s v="D"/>
    <x v="3"/>
    <n v="2.9849999999999999"/>
    <n v="8.9550000000000001"/>
    <n v="0.26865"/>
    <n v="0.80594999999999994"/>
    <x v="2"/>
    <x v="2"/>
    <x v="0"/>
  </r>
  <r>
    <s v="IMP-12563-728"/>
    <x v="578"/>
    <s v="68346-14810-UA"/>
    <s v="E-L-0.5"/>
    <x v="38"/>
    <n v="6"/>
    <x v="780"/>
    <s v=""/>
    <x v="0"/>
    <s v="Midland"/>
    <s v="Exc"/>
    <s v="L"/>
    <x v="1"/>
    <n v="8.91"/>
    <n v="53.46"/>
    <n v="0.98009999999999997"/>
    <n v="5.8805999999999994"/>
    <x v="1"/>
    <x v="1"/>
    <x v="1"/>
  </r>
  <r>
    <s v="MZL-81126-390"/>
    <x v="617"/>
    <s v="48464-99723-HK"/>
    <s v="A-L-0.2"/>
    <x v="29"/>
    <n v="6"/>
    <x v="781"/>
    <s v="jethelstonnl@creativecommons.org"/>
    <x v="0"/>
    <s v="Hollywood"/>
    <s v="Ara"/>
    <s v="L"/>
    <x v="3"/>
    <n v="3.8849999999999998"/>
    <n v="23.31"/>
    <n v="0.34964999999999996"/>
    <n v="2.0978999999999997"/>
    <x v="2"/>
    <x v="1"/>
    <x v="0"/>
  </r>
  <r>
    <s v="MZL-81126-390"/>
    <x v="617"/>
    <s v="48464-99723-HK"/>
    <s v="A-M-0.2"/>
    <x v="14"/>
    <n v="2"/>
    <x v="781"/>
    <s v="jethelstonnl@creativecommons.org"/>
    <x v="0"/>
    <s v="Hollywood"/>
    <s v="Ara"/>
    <s v="M"/>
    <x v="3"/>
    <n v="3.375"/>
    <n v="6.75"/>
    <n v="0.30374999999999996"/>
    <n v="0.60749999999999993"/>
    <x v="2"/>
    <x v="0"/>
    <x v="0"/>
  </r>
  <r>
    <s v="TVF-57766-608"/>
    <x v="155"/>
    <s v="88420-46464-XE"/>
    <s v="L-D-0.5"/>
    <x v="31"/>
    <n v="1"/>
    <x v="782"/>
    <s v="peberznn@woothemes.com"/>
    <x v="0"/>
    <s v="Chico"/>
    <s v="Lib"/>
    <s v="D"/>
    <x v="1"/>
    <n v="7.77"/>
    <n v="7.77"/>
    <n v="1.0101"/>
    <n v="1.0101"/>
    <x v="3"/>
    <x v="2"/>
    <x v="0"/>
  </r>
  <r>
    <s v="RUX-37995-892"/>
    <x v="461"/>
    <s v="37762-09530-MP"/>
    <s v="L-D-2.5"/>
    <x v="27"/>
    <n v="4"/>
    <x v="783"/>
    <s v="bgaishno@altervista.org"/>
    <x v="0"/>
    <s v="Austin"/>
    <s v="Lib"/>
    <s v="D"/>
    <x v="2"/>
    <n v="29.784999999999997"/>
    <n v="119.13999999999999"/>
    <n v="3.8720499999999998"/>
    <n v="15.488199999999999"/>
    <x v="3"/>
    <x v="2"/>
    <x v="0"/>
  </r>
  <r>
    <s v="AVK-76526-953"/>
    <x v="87"/>
    <s v="47268-50127-XY"/>
    <s v="A-D-1"/>
    <x v="9"/>
    <n v="2"/>
    <x v="784"/>
    <s v="ldantonnp@miitbeian.gov.cn"/>
    <x v="0"/>
    <s v="El Paso"/>
    <s v="Ara"/>
    <s v="D"/>
    <x v="0"/>
    <n v="9.9499999999999993"/>
    <n v="19.899999999999999"/>
    <n v="0.89549999999999985"/>
    <n v="1.7909999999999997"/>
    <x v="2"/>
    <x v="2"/>
    <x v="1"/>
  </r>
  <r>
    <s v="RIU-02231-623"/>
    <x v="618"/>
    <s v="25544-84179-QC"/>
    <s v="R-L-0.5"/>
    <x v="35"/>
    <n v="5"/>
    <x v="785"/>
    <s v="smorrallnq@answers.com"/>
    <x v="0"/>
    <s v="Charleston"/>
    <s v="Rob"/>
    <s v="L"/>
    <x v="1"/>
    <n v="7.169999999999999"/>
    <n v="35.849999999999994"/>
    <n v="0.43019999999999992"/>
    <n v="2.1509999999999998"/>
    <x v="0"/>
    <x v="1"/>
    <x v="0"/>
  </r>
  <r>
    <s v="WFK-99317-827"/>
    <x v="619"/>
    <s v="32058-76765-ZL"/>
    <s v="L-D-2.5"/>
    <x v="27"/>
    <n v="3"/>
    <x v="786"/>
    <s v="dcrownshawnr@photobucket.com"/>
    <x v="0"/>
    <s v="Allentown"/>
    <s v="Lib"/>
    <s v="D"/>
    <x v="2"/>
    <n v="29.784999999999997"/>
    <n v="89.35499999999999"/>
    <n v="3.8720499999999998"/>
    <n v="11.616149999999999"/>
    <x v="3"/>
    <x v="2"/>
    <x v="1"/>
  </r>
  <r>
    <s v="SFD-00372-284"/>
    <x v="440"/>
    <s v="54798-14109-HC"/>
    <s v="L-M-0.2"/>
    <x v="21"/>
    <n v="2"/>
    <x v="760"/>
    <s v="oskermen3@hatena.ne.jp"/>
    <x v="0"/>
    <s v="Oklahoma City"/>
    <s v="Lib"/>
    <s v="M"/>
    <x v="3"/>
    <n v="4.3650000000000002"/>
    <n v="8.73"/>
    <n v="0.56745000000000001"/>
    <n v="1.1349"/>
    <x v="3"/>
    <x v="0"/>
    <x v="0"/>
  </r>
  <r>
    <s v="SXC-62166-515"/>
    <x v="489"/>
    <s v="69171-65646-UC"/>
    <s v="R-L-2.5"/>
    <x v="4"/>
    <n v="5"/>
    <x v="787"/>
    <s v="jreddochnt@sun.com"/>
    <x v="0"/>
    <s v="Largo"/>
    <s v="Rob"/>
    <s v="L"/>
    <x v="2"/>
    <n v="27.484999999999996"/>
    <n v="137.42499999999998"/>
    <n v="1.6490999999999998"/>
    <n v="8.2454999999999998"/>
    <x v="0"/>
    <x v="1"/>
    <x v="1"/>
  </r>
  <r>
    <s v="YIE-87008-621"/>
    <x v="620"/>
    <s v="22503-52799-MI"/>
    <s v="L-M-0.5"/>
    <x v="22"/>
    <n v="4"/>
    <x v="788"/>
    <s v="stitleynu@whitehouse.gov"/>
    <x v="0"/>
    <s v="Fargo"/>
    <s v="Lib"/>
    <s v="M"/>
    <x v="1"/>
    <n v="8.73"/>
    <n v="34.92"/>
    <n v="1.1349"/>
    <n v="4.5396000000000001"/>
    <x v="3"/>
    <x v="0"/>
    <x v="1"/>
  </r>
  <r>
    <s v="HRM-94548-288"/>
    <x v="621"/>
    <s v="08934-65581-ZI"/>
    <s v="A-L-2.5"/>
    <x v="44"/>
    <n v="6"/>
    <x v="789"/>
    <s v="rsimaonv@simplemachines.org"/>
    <x v="0"/>
    <s v="Fort Smith"/>
    <s v="Ara"/>
    <s v="L"/>
    <x v="2"/>
    <n v="29.784999999999997"/>
    <n v="178.70999999999998"/>
    <n v="2.6806499999999995"/>
    <n v="16.083899999999996"/>
    <x v="2"/>
    <x v="1"/>
    <x v="1"/>
  </r>
  <r>
    <s v="UJG-34731-295"/>
    <x v="374"/>
    <s v="15764-22559-ZT"/>
    <s v="A-M-2.5"/>
    <x v="37"/>
    <n v="1"/>
    <x v="790"/>
    <s v=""/>
    <x v="0"/>
    <s v="Lakeland"/>
    <s v="Ara"/>
    <s v="M"/>
    <x v="2"/>
    <n v="25.874999999999996"/>
    <n v="25.874999999999996"/>
    <n v="2.3287499999999994"/>
    <n v="2.3287499999999994"/>
    <x v="2"/>
    <x v="0"/>
    <x v="1"/>
  </r>
  <r>
    <s v="TWD-70988-853"/>
    <x v="345"/>
    <s v="87519-68847-ZG"/>
    <s v="L-D-1"/>
    <x v="5"/>
    <n v="6"/>
    <x v="791"/>
    <s v="nchisholmnx@example.com"/>
    <x v="0"/>
    <s v="Knoxville"/>
    <s v="Lib"/>
    <s v="D"/>
    <x v="0"/>
    <n v="12.95"/>
    <n v="77.699999999999989"/>
    <n v="1.6835"/>
    <n v="10.100999999999999"/>
    <x v="3"/>
    <x v="2"/>
    <x v="0"/>
  </r>
  <r>
    <s v="CIX-22904-641"/>
    <x v="622"/>
    <s v="78012-56878-UB"/>
    <s v="R-M-1"/>
    <x v="0"/>
    <n v="1"/>
    <x v="792"/>
    <s v="goatsny@live.com"/>
    <x v="0"/>
    <s v="Los Angeles"/>
    <s v="Rob"/>
    <s v="M"/>
    <x v="0"/>
    <n v="9.9499999999999993"/>
    <n v="9.9499999999999993"/>
    <n v="0.59699999999999998"/>
    <n v="0.59699999999999998"/>
    <x v="0"/>
    <x v="0"/>
    <x v="0"/>
  </r>
  <r>
    <s v="DLV-65840-759"/>
    <x v="623"/>
    <s v="77192-72145-RG"/>
    <s v="L-M-1"/>
    <x v="24"/>
    <n v="2"/>
    <x v="793"/>
    <s v="mbirkinnz@java.com"/>
    <x v="0"/>
    <s v="Miami"/>
    <s v="Lib"/>
    <s v="M"/>
    <x v="0"/>
    <n v="14.55"/>
    <n v="29.1"/>
    <n v="1.8915000000000002"/>
    <n v="3.7830000000000004"/>
    <x v="3"/>
    <x v="0"/>
    <x v="0"/>
  </r>
  <r>
    <s v="RXN-55491-201"/>
    <x v="354"/>
    <s v="86071-79238-CX"/>
    <s v="R-L-0.2"/>
    <x v="40"/>
    <n v="6"/>
    <x v="794"/>
    <s v="rpysono0@constantcontact.com"/>
    <x v="1"/>
    <s v="Clones"/>
    <s v="Rob"/>
    <s v="L"/>
    <x v="3"/>
    <n v="3.5849999999999995"/>
    <n v="21.509999999999998"/>
    <n v="0.21509999999999996"/>
    <n v="1.2905999999999997"/>
    <x v="0"/>
    <x v="1"/>
    <x v="1"/>
  </r>
  <r>
    <s v="UHK-63283-868"/>
    <x v="624"/>
    <s v="16809-16936-WF"/>
    <s v="A-M-0.5"/>
    <x v="19"/>
    <n v="1"/>
    <x v="795"/>
    <s v="mmacconnechieo9@reuters.com"/>
    <x v="0"/>
    <s v="Charleston"/>
    <s v="Ara"/>
    <s v="M"/>
    <x v="1"/>
    <n v="6.75"/>
    <n v="6.75"/>
    <n v="0.60749999999999993"/>
    <n v="0.60749999999999993"/>
    <x v="2"/>
    <x v="0"/>
    <x v="0"/>
  </r>
  <r>
    <s v="PJC-31401-893"/>
    <x v="561"/>
    <s v="11212-69985-ZJ"/>
    <s v="A-D-0.5"/>
    <x v="20"/>
    <n v="3"/>
    <x v="796"/>
    <s v="rtreachero2@usa.gov"/>
    <x v="1"/>
    <s v="Greystones"/>
    <s v="Ara"/>
    <s v="D"/>
    <x v="1"/>
    <n v="5.97"/>
    <n v="17.91"/>
    <n v="0.5373"/>
    <n v="1.6118999999999999"/>
    <x v="2"/>
    <x v="2"/>
    <x v="1"/>
  </r>
  <r>
    <s v="HHO-79903-185"/>
    <x v="42"/>
    <s v="53893-01719-CL"/>
    <s v="A-L-2.5"/>
    <x v="44"/>
    <n v="1"/>
    <x v="797"/>
    <s v="bfattorinio3@quantcast.com"/>
    <x v="1"/>
    <s v="Monaghan"/>
    <s v="Ara"/>
    <s v="L"/>
    <x v="2"/>
    <n v="29.784999999999997"/>
    <n v="29.784999999999997"/>
    <n v="2.6806499999999995"/>
    <n v="2.6806499999999995"/>
    <x v="2"/>
    <x v="1"/>
    <x v="0"/>
  </r>
  <r>
    <s v="YWM-07310-594"/>
    <x v="267"/>
    <s v="66028-99867-WJ"/>
    <s v="E-M-0.5"/>
    <x v="1"/>
    <n v="5"/>
    <x v="798"/>
    <s v="mpalleskeo4@nyu.edu"/>
    <x v="0"/>
    <s v="Pompano Beach"/>
    <s v="Exc"/>
    <s v="M"/>
    <x v="1"/>
    <n v="8.25"/>
    <n v="41.25"/>
    <n v="0.90749999999999997"/>
    <n v="4.5374999999999996"/>
    <x v="1"/>
    <x v="0"/>
    <x v="0"/>
  </r>
  <r>
    <s v="FHD-94983-982"/>
    <x v="625"/>
    <s v="62839-56723-CH"/>
    <s v="R-M-0.5"/>
    <x v="8"/>
    <n v="3"/>
    <x v="799"/>
    <s v=""/>
    <x v="0"/>
    <s v="Sacramento"/>
    <s v="Rob"/>
    <s v="M"/>
    <x v="1"/>
    <n v="5.97"/>
    <n v="17.91"/>
    <n v="0.35819999999999996"/>
    <n v="1.0745999999999998"/>
    <x v="0"/>
    <x v="0"/>
    <x v="0"/>
  </r>
  <r>
    <s v="WQK-10857-119"/>
    <x v="616"/>
    <s v="96849-52854-CR"/>
    <s v="E-D-0.5"/>
    <x v="6"/>
    <n v="1"/>
    <x v="800"/>
    <s v="fantcliffeo6@amazon.co.jp"/>
    <x v="1"/>
    <s v="Clonskeagh"/>
    <s v="Exc"/>
    <s v="D"/>
    <x v="1"/>
    <n v="7.29"/>
    <n v="7.29"/>
    <n v="0.80190000000000006"/>
    <n v="0.80190000000000006"/>
    <x v="1"/>
    <x v="2"/>
    <x v="0"/>
  </r>
  <r>
    <s v="DXA-50313-073"/>
    <x v="626"/>
    <s v="19755-55847-VW"/>
    <s v="E-L-1"/>
    <x v="33"/>
    <n v="2"/>
    <x v="801"/>
    <s v="pmatignono7@harvard.edu"/>
    <x v="2"/>
    <s v="Kirkton"/>
    <s v="Exc"/>
    <s v="L"/>
    <x v="0"/>
    <n v="14.85"/>
    <n v="29.7"/>
    <n v="1.6335"/>
    <n v="3.2669999999999999"/>
    <x v="1"/>
    <x v="1"/>
    <x v="0"/>
  </r>
  <r>
    <s v="ONW-00560-570"/>
    <x v="52"/>
    <s v="32900-82606-BO"/>
    <s v="A-M-1"/>
    <x v="17"/>
    <n v="2"/>
    <x v="802"/>
    <s v="cweondo8@theglobeandmail.com"/>
    <x v="0"/>
    <s v="Asheville"/>
    <s v="Ara"/>
    <s v="M"/>
    <x v="0"/>
    <n v="11.25"/>
    <n v="22.5"/>
    <n v="1.0125"/>
    <n v="2.0249999999999999"/>
    <x v="2"/>
    <x v="0"/>
    <x v="1"/>
  </r>
  <r>
    <s v="BRJ-19414-277"/>
    <x v="622"/>
    <s v="16809-16936-WF"/>
    <s v="R-M-0.2"/>
    <x v="36"/>
    <n v="4"/>
    <x v="795"/>
    <s v="mmacconnechieo9@reuters.com"/>
    <x v="0"/>
    <s v="Charleston"/>
    <s v="Rob"/>
    <s v="M"/>
    <x v="3"/>
    <n v="2.9849999999999999"/>
    <n v="11.94"/>
    <n v="0.17909999999999998"/>
    <n v="0.71639999999999993"/>
    <x v="0"/>
    <x v="0"/>
    <x v="0"/>
  </r>
  <r>
    <s v="MIQ-16322-908"/>
    <x v="627"/>
    <s v="20118-28138-QD"/>
    <s v="A-L-1"/>
    <x v="2"/>
    <n v="2"/>
    <x v="803"/>
    <s v="jskentelberyoa@paypal.com"/>
    <x v="0"/>
    <s v="Houston"/>
    <s v="Ara"/>
    <s v="L"/>
    <x v="0"/>
    <n v="12.95"/>
    <n v="25.9"/>
    <n v="1.1655"/>
    <n v="2.331"/>
    <x v="2"/>
    <x v="1"/>
    <x v="1"/>
  </r>
  <r>
    <s v="MVO-39328-830"/>
    <x v="628"/>
    <s v="84057-45461-AH"/>
    <s v="L-M-0.5"/>
    <x v="22"/>
    <n v="5"/>
    <x v="804"/>
    <s v="ocomberob@goo.gl"/>
    <x v="1"/>
    <s v="Confey"/>
    <s v="Lib"/>
    <s v="M"/>
    <x v="1"/>
    <n v="8.73"/>
    <n v="43.650000000000006"/>
    <n v="1.1349"/>
    <n v="5.6745000000000001"/>
    <x v="3"/>
    <x v="0"/>
    <x v="1"/>
  </r>
  <r>
    <s v="MVO-39328-830"/>
    <x v="628"/>
    <s v="84057-45461-AH"/>
    <s v="A-L-0.5"/>
    <x v="42"/>
    <n v="6"/>
    <x v="804"/>
    <s v="ocomberob@goo.gl"/>
    <x v="1"/>
    <s v="Confey"/>
    <s v="Ara"/>
    <s v="L"/>
    <x v="1"/>
    <n v="7.77"/>
    <n v="46.62"/>
    <n v="0.69929999999999992"/>
    <n v="4.1957999999999993"/>
    <x v="2"/>
    <x v="1"/>
    <x v="1"/>
  </r>
  <r>
    <s v="NTJ-88319-746"/>
    <x v="629"/>
    <s v="90882-88130-KQ"/>
    <s v="L-L-0.5"/>
    <x v="23"/>
    <n v="3"/>
    <x v="805"/>
    <s v="ztramelod@netlog.com"/>
    <x v="0"/>
    <s v="Newark"/>
    <s v="Lib"/>
    <s v="L"/>
    <x v="1"/>
    <n v="9.51"/>
    <n v="28.53"/>
    <n v="1.2363"/>
    <n v="3.7088999999999999"/>
    <x v="3"/>
    <x v="1"/>
    <x v="1"/>
  </r>
  <r>
    <s v="LCY-24377-948"/>
    <x v="630"/>
    <s v="21617-79890-DD"/>
    <s v="R-L-2.5"/>
    <x v="4"/>
    <n v="1"/>
    <x v="806"/>
    <s v=""/>
    <x v="0"/>
    <s v="Seattle"/>
    <s v="Rob"/>
    <s v="L"/>
    <x v="2"/>
    <n v="27.484999999999996"/>
    <n v="27.484999999999996"/>
    <n v="1.6490999999999998"/>
    <n v="1.6490999999999998"/>
    <x v="0"/>
    <x v="1"/>
    <x v="0"/>
  </r>
  <r>
    <s v="FWD-85967-769"/>
    <x v="631"/>
    <s v="20256-54689-LO"/>
    <s v="E-D-0.2"/>
    <x v="15"/>
    <n v="3"/>
    <x v="807"/>
    <s v=""/>
    <x v="0"/>
    <s v="Englewood"/>
    <s v="Exc"/>
    <s v="D"/>
    <x v="3"/>
    <n v="3.645"/>
    <n v="10.935"/>
    <n v="0.40095000000000003"/>
    <n v="1.2028500000000002"/>
    <x v="1"/>
    <x v="2"/>
    <x v="1"/>
  </r>
  <r>
    <s v="KTO-53793-109"/>
    <x v="229"/>
    <s v="17572-27091-AA"/>
    <s v="R-L-0.2"/>
    <x v="40"/>
    <n v="2"/>
    <x v="808"/>
    <s v="chatfullog@ebay.com"/>
    <x v="0"/>
    <s v="Rockford"/>
    <s v="Rob"/>
    <s v="L"/>
    <x v="3"/>
    <n v="3.5849999999999995"/>
    <n v="7.169999999999999"/>
    <n v="0.21509999999999996"/>
    <n v="0.43019999999999992"/>
    <x v="0"/>
    <x v="1"/>
    <x v="1"/>
  </r>
  <r>
    <s v="OCK-89033-348"/>
    <x v="632"/>
    <s v="82300-88786-UE"/>
    <s v="A-L-0.2"/>
    <x v="29"/>
    <n v="6"/>
    <x v="809"/>
    <s v=""/>
    <x v="0"/>
    <s v="Billings"/>
    <s v="Ara"/>
    <s v="L"/>
    <x v="3"/>
    <n v="3.8849999999999998"/>
    <n v="23.31"/>
    <n v="0.34964999999999996"/>
    <n v="2.0978999999999997"/>
    <x v="2"/>
    <x v="1"/>
    <x v="0"/>
  </r>
  <r>
    <s v="GPZ-36017-366"/>
    <x v="633"/>
    <s v="65732-22589-OW"/>
    <s v="A-D-2.5"/>
    <x v="30"/>
    <n v="5"/>
    <x v="810"/>
    <s v="kmarrisonoq@dropbox.com"/>
    <x v="0"/>
    <s v="Denver"/>
    <s v="Ara"/>
    <s v="D"/>
    <x v="2"/>
    <n v="22.884999999999998"/>
    <n v="114.42499999999998"/>
    <n v="2.0596499999999995"/>
    <n v="10.298249999999998"/>
    <x v="2"/>
    <x v="2"/>
    <x v="0"/>
  </r>
  <r>
    <s v="BZP-33213-637"/>
    <x v="95"/>
    <s v="77175-09826-SF"/>
    <s v="A-M-2.5"/>
    <x v="37"/>
    <n v="3"/>
    <x v="811"/>
    <s v="lagnolooj@pinterest.com"/>
    <x v="0"/>
    <s v="Tulsa"/>
    <s v="Ara"/>
    <s v="M"/>
    <x v="2"/>
    <n v="25.874999999999996"/>
    <n v="77.624999999999986"/>
    <n v="2.3287499999999994"/>
    <n v="6.9862499999999983"/>
    <x v="2"/>
    <x v="0"/>
    <x v="0"/>
  </r>
  <r>
    <s v="WFH-21507-708"/>
    <x v="521"/>
    <s v="07237-32539-NB"/>
    <s v="R-D-0.5"/>
    <x v="34"/>
    <n v="1"/>
    <x v="812"/>
    <s v="dkiddyok@fda.gov"/>
    <x v="0"/>
    <s v="Fresno"/>
    <s v="Rob"/>
    <s v="D"/>
    <x v="1"/>
    <n v="5.3699999999999992"/>
    <n v="5.3699999999999992"/>
    <n v="0.32219999999999993"/>
    <n v="0.32219999999999993"/>
    <x v="0"/>
    <x v="2"/>
    <x v="0"/>
  </r>
  <r>
    <s v="HST-96923-073"/>
    <x v="76"/>
    <s v="54722-76431-EX"/>
    <s v="R-D-2.5"/>
    <x v="11"/>
    <n v="6"/>
    <x v="813"/>
    <s v="hpetroulisol@state.tx.us"/>
    <x v="1"/>
    <s v="Mullagh"/>
    <s v="Rob"/>
    <s v="D"/>
    <x v="2"/>
    <n v="20.584999999999997"/>
    <n v="123.50999999999999"/>
    <n v="1.2350999999999999"/>
    <n v="7.4105999999999987"/>
    <x v="0"/>
    <x v="2"/>
    <x v="1"/>
  </r>
  <r>
    <s v="ENN-79947-323"/>
    <x v="634"/>
    <s v="67847-82662-TE"/>
    <s v="L-M-0.5"/>
    <x v="22"/>
    <n v="2"/>
    <x v="814"/>
    <s v="mschollom@taobao.com"/>
    <x v="0"/>
    <s v="San Francisco"/>
    <s v="Lib"/>
    <s v="M"/>
    <x v="1"/>
    <n v="8.73"/>
    <n v="17.46"/>
    <n v="1.1349"/>
    <n v="2.2698"/>
    <x v="3"/>
    <x v="0"/>
    <x v="1"/>
  </r>
  <r>
    <s v="BHA-47429-889"/>
    <x v="635"/>
    <s v="51114-51191-EW"/>
    <s v="E-L-0.2"/>
    <x v="46"/>
    <n v="3"/>
    <x v="815"/>
    <s v="kfersonon@g.co"/>
    <x v="0"/>
    <s v="Mobile"/>
    <s v="Exc"/>
    <s v="L"/>
    <x v="3"/>
    <n v="4.4550000000000001"/>
    <n v="13.365"/>
    <n v="0.49004999999999999"/>
    <n v="1.4701499999999998"/>
    <x v="1"/>
    <x v="1"/>
    <x v="1"/>
  </r>
  <r>
    <s v="SZY-63017-318"/>
    <x v="636"/>
    <s v="91809-58808-TV"/>
    <s v="A-L-0.2"/>
    <x v="29"/>
    <n v="2"/>
    <x v="816"/>
    <s v="bkellowayoo@omniture.com"/>
    <x v="0"/>
    <s v="San Francisco"/>
    <s v="Ara"/>
    <s v="L"/>
    <x v="3"/>
    <n v="3.8849999999999998"/>
    <n v="7.77"/>
    <n v="0.34964999999999996"/>
    <n v="0.69929999999999992"/>
    <x v="2"/>
    <x v="1"/>
    <x v="0"/>
  </r>
  <r>
    <s v="LCU-93317-340"/>
    <x v="637"/>
    <s v="84996-26826-DK"/>
    <s v="R-D-0.2"/>
    <x v="25"/>
    <n v="1"/>
    <x v="817"/>
    <s v="soliffeop@yellowbook.com"/>
    <x v="0"/>
    <s v="Jamaica"/>
    <s v="Rob"/>
    <s v="D"/>
    <x v="3"/>
    <n v="2.6849999999999996"/>
    <n v="2.6849999999999996"/>
    <n v="0.16109999999999997"/>
    <n v="0.16109999999999997"/>
    <x v="0"/>
    <x v="2"/>
    <x v="0"/>
  </r>
  <r>
    <s v="UOM-71431-481"/>
    <x v="182"/>
    <s v="65732-22589-OW"/>
    <s v="R-D-2.5"/>
    <x v="11"/>
    <n v="1"/>
    <x v="810"/>
    <s v="kmarrisonoq@dropbox.com"/>
    <x v="0"/>
    <s v="Denver"/>
    <s v="Rob"/>
    <s v="D"/>
    <x v="2"/>
    <n v="20.584999999999997"/>
    <n v="20.584999999999997"/>
    <n v="1.2350999999999999"/>
    <n v="1.2350999999999999"/>
    <x v="0"/>
    <x v="2"/>
    <x v="0"/>
  </r>
  <r>
    <s v="PJH-42618-877"/>
    <x v="479"/>
    <s v="93676-95250-XJ"/>
    <s v="A-D-2.5"/>
    <x v="30"/>
    <n v="5"/>
    <x v="818"/>
    <s v="cdolohuntyor@dailymail.co.uk"/>
    <x v="0"/>
    <s v="San Diego"/>
    <s v="Ara"/>
    <s v="D"/>
    <x v="2"/>
    <n v="22.884999999999998"/>
    <n v="114.42499999999998"/>
    <n v="2.0596499999999995"/>
    <n v="10.298249999999998"/>
    <x v="2"/>
    <x v="2"/>
    <x v="0"/>
  </r>
  <r>
    <s v="XED-90333-402"/>
    <x v="638"/>
    <s v="28300-14355-GF"/>
    <s v="E-M-0.2"/>
    <x v="18"/>
    <n v="5"/>
    <x v="819"/>
    <s v="pvasilenkoos@addtoany.com"/>
    <x v="2"/>
    <s v="Preston"/>
    <s v="Exc"/>
    <s v="M"/>
    <x v="3"/>
    <n v="4.125"/>
    <n v="20.625"/>
    <n v="0.45374999999999999"/>
    <n v="2.2687499999999998"/>
    <x v="1"/>
    <x v="0"/>
    <x v="1"/>
  </r>
  <r>
    <s v="IKK-62234-199"/>
    <x v="639"/>
    <s v="91190-84826-IQ"/>
    <s v="L-L-0.5"/>
    <x v="23"/>
    <n v="6"/>
    <x v="820"/>
    <s v="rschankelborgot@ameblo.jp"/>
    <x v="0"/>
    <s v="Pittsburgh"/>
    <s v="Lib"/>
    <s v="L"/>
    <x v="1"/>
    <n v="9.51"/>
    <n v="57.06"/>
    <n v="1.2363"/>
    <n v="7.4177999999999997"/>
    <x v="3"/>
    <x v="1"/>
    <x v="0"/>
  </r>
  <r>
    <s v="KAW-95195-329"/>
    <x v="640"/>
    <s v="34570-99384-AF"/>
    <s v="R-D-2.5"/>
    <x v="11"/>
    <n v="4"/>
    <x v="821"/>
    <s v=""/>
    <x v="1"/>
    <s v="Cavan"/>
    <s v="Rob"/>
    <s v="D"/>
    <x v="2"/>
    <n v="20.584999999999997"/>
    <n v="82.339999999999989"/>
    <n v="1.2350999999999999"/>
    <n v="4.9403999999999995"/>
    <x v="0"/>
    <x v="2"/>
    <x v="0"/>
  </r>
  <r>
    <s v="QDO-57268-842"/>
    <x v="612"/>
    <s v="57808-90533-UE"/>
    <s v="E-M-2.5"/>
    <x v="28"/>
    <n v="5"/>
    <x v="822"/>
    <s v=""/>
    <x v="0"/>
    <s v="New York City"/>
    <s v="Exc"/>
    <s v="M"/>
    <x v="2"/>
    <n v="31.624999999999996"/>
    <n v="158.12499999999997"/>
    <n v="3.4787499999999998"/>
    <n v="17.393749999999997"/>
    <x v="1"/>
    <x v="0"/>
    <x v="1"/>
  </r>
  <r>
    <s v="IIZ-24416-212"/>
    <x v="641"/>
    <s v="76060-30540-LB"/>
    <s v="R-D-0.5"/>
    <x v="34"/>
    <n v="6"/>
    <x v="823"/>
    <s v="bcargenow@geocities.jp"/>
    <x v="0"/>
    <s v="Seattle"/>
    <s v="Rob"/>
    <s v="D"/>
    <x v="1"/>
    <n v="5.3699999999999992"/>
    <n v="32.22"/>
    <n v="0.32219999999999993"/>
    <n v="1.9331999999999996"/>
    <x v="0"/>
    <x v="2"/>
    <x v="0"/>
  </r>
  <r>
    <s v="AWP-11469-510"/>
    <x v="36"/>
    <s v="76730-63769-ND"/>
    <s v="E-D-1"/>
    <x v="45"/>
    <n v="2"/>
    <x v="824"/>
    <s v="rsticklerox@printfriendly.com"/>
    <x v="2"/>
    <s v="Birmingham"/>
    <s v="Exc"/>
    <s v="D"/>
    <x v="0"/>
    <n v="12.15"/>
    <n v="24.3"/>
    <n v="1.3365"/>
    <n v="2.673"/>
    <x v="1"/>
    <x v="2"/>
    <x v="1"/>
  </r>
  <r>
    <s v="KXA-27983-918"/>
    <x v="642"/>
    <s v="96042-27290-EQ"/>
    <s v="R-L-0.5"/>
    <x v="35"/>
    <n v="5"/>
    <x v="825"/>
    <s v=""/>
    <x v="0"/>
    <s v="Battle Creek"/>
    <s v="Rob"/>
    <s v="L"/>
    <x v="1"/>
    <n v="7.169999999999999"/>
    <n v="35.849999999999994"/>
    <n v="0.43019999999999992"/>
    <n v="2.1509999999999998"/>
    <x v="0"/>
    <x v="1"/>
    <x v="1"/>
  </r>
  <r>
    <s v="VKQ-39009-292"/>
    <x v="219"/>
    <s v="57808-90533-UE"/>
    <s v="L-M-1"/>
    <x v="24"/>
    <n v="5"/>
    <x v="822"/>
    <s v=""/>
    <x v="0"/>
    <s v="New York City"/>
    <s v="Lib"/>
    <s v="M"/>
    <x v="0"/>
    <n v="14.55"/>
    <n v="72.75"/>
    <n v="1.8915000000000002"/>
    <n v="9.4575000000000014"/>
    <x v="3"/>
    <x v="0"/>
    <x v="1"/>
  </r>
  <r>
    <s v="PDB-98743-282"/>
    <x v="643"/>
    <s v="51940-02669-OR"/>
    <s v="L-L-1"/>
    <x v="32"/>
    <n v="3"/>
    <x v="826"/>
    <s v=""/>
    <x v="1"/>
    <s v="Ballymun"/>
    <s v="Lib"/>
    <s v="L"/>
    <x v="0"/>
    <n v="15.85"/>
    <n v="47.55"/>
    <n v="2.0605000000000002"/>
    <n v="6.1815000000000007"/>
    <x v="3"/>
    <x v="1"/>
    <x v="1"/>
  </r>
  <r>
    <s v="SXW-34014-556"/>
    <x v="644"/>
    <s v="99144-98314-GN"/>
    <s v="R-L-0.2"/>
    <x v="40"/>
    <n v="1"/>
    <x v="827"/>
    <s v="djevonp1@ibm.com"/>
    <x v="0"/>
    <s v="Houston"/>
    <s v="Rob"/>
    <s v="L"/>
    <x v="3"/>
    <n v="3.5849999999999995"/>
    <n v="3.5849999999999995"/>
    <n v="0.21509999999999996"/>
    <n v="0.21509999999999996"/>
    <x v="0"/>
    <x v="1"/>
    <x v="0"/>
  </r>
  <r>
    <s v="QOJ-38788-727"/>
    <x v="136"/>
    <s v="16358-63919-CE"/>
    <s v="E-M-2.5"/>
    <x v="28"/>
    <n v="5"/>
    <x v="828"/>
    <s v="hrannerp2@omniture.com"/>
    <x v="0"/>
    <s v="Cincinnati"/>
    <s v="Exc"/>
    <s v="M"/>
    <x v="2"/>
    <n v="31.624999999999996"/>
    <n v="158.12499999999997"/>
    <n v="3.4787499999999998"/>
    <n v="17.393749999999997"/>
    <x v="1"/>
    <x v="0"/>
    <x v="1"/>
  </r>
  <r>
    <s v="TGF-38649-658"/>
    <x v="645"/>
    <s v="67743-54817-UT"/>
    <s v="L-M-0.5"/>
    <x v="22"/>
    <n v="2"/>
    <x v="829"/>
    <s v="bimriep3@addtoany.com"/>
    <x v="0"/>
    <s v="Fresno"/>
    <s v="Lib"/>
    <s v="M"/>
    <x v="1"/>
    <n v="8.73"/>
    <n v="17.46"/>
    <n v="1.1349"/>
    <n v="2.2698"/>
    <x v="3"/>
    <x v="0"/>
    <x v="1"/>
  </r>
  <r>
    <s v="EAI-25194-209"/>
    <x v="646"/>
    <s v="44601-51441-BH"/>
    <s v="A-L-2.5"/>
    <x v="44"/>
    <n v="5"/>
    <x v="830"/>
    <s v="dsopperp4@eventbrite.com"/>
    <x v="0"/>
    <s v="Saint Paul"/>
    <s v="Ara"/>
    <s v="L"/>
    <x v="2"/>
    <n v="29.784999999999997"/>
    <n v="148.92499999999998"/>
    <n v="2.6806499999999995"/>
    <n v="13.403249999999998"/>
    <x v="2"/>
    <x v="1"/>
    <x v="1"/>
  </r>
  <r>
    <s v="IJK-34441-720"/>
    <x v="647"/>
    <s v="97201-58870-WB"/>
    <s v="A-M-0.5"/>
    <x v="19"/>
    <n v="6"/>
    <x v="831"/>
    <s v=""/>
    <x v="0"/>
    <s v="El Paso"/>
    <s v="Ara"/>
    <s v="M"/>
    <x v="1"/>
    <n v="6.75"/>
    <n v="40.5"/>
    <n v="0.60749999999999993"/>
    <n v="3.6449999999999996"/>
    <x v="2"/>
    <x v="0"/>
    <x v="0"/>
  </r>
  <r>
    <s v="ZMC-00336-619"/>
    <x v="591"/>
    <s v="19849-12926-QF"/>
    <s v="A-M-0.5"/>
    <x v="19"/>
    <n v="4"/>
    <x v="832"/>
    <s v="lledgleyp6@de.vu"/>
    <x v="0"/>
    <s v="Des Moines"/>
    <s v="Ara"/>
    <s v="M"/>
    <x v="1"/>
    <n v="6.75"/>
    <n v="27"/>
    <n v="0.60749999999999993"/>
    <n v="2.4299999999999997"/>
    <x v="2"/>
    <x v="0"/>
    <x v="0"/>
  </r>
  <r>
    <s v="UPX-54529-618"/>
    <x v="648"/>
    <s v="40535-56770-UM"/>
    <s v="L-D-1"/>
    <x v="5"/>
    <n v="3"/>
    <x v="833"/>
    <s v="tmenaryp7@phoca.cz"/>
    <x v="0"/>
    <s v="Portland"/>
    <s v="Lib"/>
    <s v="D"/>
    <x v="0"/>
    <n v="12.95"/>
    <n v="38.849999999999994"/>
    <n v="1.6835"/>
    <n v="5.0504999999999995"/>
    <x v="3"/>
    <x v="2"/>
    <x v="1"/>
  </r>
  <r>
    <s v="DLX-01059-899"/>
    <x v="191"/>
    <s v="74940-09646-MU"/>
    <s v="R-L-1"/>
    <x v="41"/>
    <n v="5"/>
    <x v="834"/>
    <s v="gciccottip8@so-net.ne.jp"/>
    <x v="0"/>
    <s v="Houston"/>
    <s v="Rob"/>
    <s v="L"/>
    <x v="0"/>
    <n v="11.95"/>
    <n v="59.75"/>
    <n v="0.71699999999999997"/>
    <n v="3.585"/>
    <x v="0"/>
    <x v="1"/>
    <x v="1"/>
  </r>
  <r>
    <s v="MEK-85120-243"/>
    <x v="649"/>
    <s v="06623-54610-HC"/>
    <s v="R-L-0.2"/>
    <x v="40"/>
    <n v="3"/>
    <x v="835"/>
    <s v=""/>
    <x v="0"/>
    <s v="Durham"/>
    <s v="Rob"/>
    <s v="L"/>
    <x v="3"/>
    <n v="3.5849999999999995"/>
    <n v="10.754999999999999"/>
    <n v="0.21509999999999996"/>
    <n v="0.64529999999999987"/>
    <x v="0"/>
    <x v="1"/>
    <x v="1"/>
  </r>
  <r>
    <s v="NFI-37188-246"/>
    <x v="553"/>
    <s v="89490-75361-AF"/>
    <s v="A-D-2.5"/>
    <x v="30"/>
    <n v="4"/>
    <x v="836"/>
    <s v="wjallinpa@pcworld.com"/>
    <x v="0"/>
    <s v="Boston"/>
    <s v="Ara"/>
    <s v="D"/>
    <x v="2"/>
    <n v="22.884999999999998"/>
    <n v="91.539999999999992"/>
    <n v="2.0596499999999995"/>
    <n v="8.2385999999999981"/>
    <x v="2"/>
    <x v="2"/>
    <x v="1"/>
  </r>
  <r>
    <s v="BXH-62195-013"/>
    <x v="584"/>
    <s v="94526-79230-GZ"/>
    <s v="A-M-1"/>
    <x v="17"/>
    <n v="4"/>
    <x v="837"/>
    <s v="mbogeypb@thetimes.co.uk"/>
    <x v="0"/>
    <s v="Washington"/>
    <s v="Ara"/>
    <s v="M"/>
    <x v="0"/>
    <n v="11.25"/>
    <n v="45"/>
    <n v="1.0125"/>
    <n v="4.05"/>
    <x v="2"/>
    <x v="0"/>
    <x v="0"/>
  </r>
  <r>
    <s v="YLK-78851-470"/>
    <x v="650"/>
    <s v="58559-08254-UY"/>
    <s v="R-M-2.5"/>
    <x v="13"/>
    <n v="6"/>
    <x v="838"/>
    <s v=""/>
    <x v="0"/>
    <s v="Albany"/>
    <s v="Rob"/>
    <s v="M"/>
    <x v="2"/>
    <n v="22.884999999999998"/>
    <n v="137.31"/>
    <n v="1.3730999999999998"/>
    <n v="8.2385999999999981"/>
    <x v="0"/>
    <x v="0"/>
    <x v="0"/>
  </r>
  <r>
    <s v="DXY-76225-633"/>
    <x v="121"/>
    <s v="88574-37083-WX"/>
    <s v="A-M-0.5"/>
    <x v="19"/>
    <n v="1"/>
    <x v="839"/>
    <s v="mcobbledickpd@ucsd.edu"/>
    <x v="0"/>
    <s v="Tucson"/>
    <s v="Ara"/>
    <s v="M"/>
    <x v="1"/>
    <n v="6.75"/>
    <n v="6.75"/>
    <n v="0.60749999999999993"/>
    <n v="0.60749999999999993"/>
    <x v="2"/>
    <x v="0"/>
    <x v="1"/>
  </r>
  <r>
    <s v="UHP-24614-199"/>
    <x v="472"/>
    <s v="67953-79896-AC"/>
    <s v="A-M-1"/>
    <x v="17"/>
    <n v="4"/>
    <x v="840"/>
    <s v="alewrype@whitehouse.gov"/>
    <x v="0"/>
    <s v="Montgomery"/>
    <s v="Ara"/>
    <s v="M"/>
    <x v="0"/>
    <n v="11.25"/>
    <n v="45"/>
    <n v="1.0125"/>
    <n v="4.05"/>
    <x v="2"/>
    <x v="0"/>
    <x v="1"/>
  </r>
  <r>
    <s v="HBY-35655-049"/>
    <x v="594"/>
    <s v="69207-93422-CQ"/>
    <s v="E-D-2.5"/>
    <x v="47"/>
    <n v="3"/>
    <x v="841"/>
    <s v="ihesselpf@ox.ac.uk"/>
    <x v="0"/>
    <s v="Fairbanks"/>
    <s v="Exc"/>
    <s v="D"/>
    <x v="2"/>
    <n v="27.945"/>
    <n v="83.835000000000008"/>
    <n v="3.07395"/>
    <n v="9.2218499999999999"/>
    <x v="1"/>
    <x v="2"/>
    <x v="0"/>
  </r>
  <r>
    <s v="DCE-22886-861"/>
    <x v="89"/>
    <s v="56060-17602-RG"/>
    <s v="E-D-0.2"/>
    <x v="15"/>
    <n v="1"/>
    <x v="842"/>
    <s v=""/>
    <x v="1"/>
    <s v="Monasterevin"/>
    <s v="Exc"/>
    <s v="D"/>
    <x v="3"/>
    <n v="3.645"/>
    <n v="3.645"/>
    <n v="0.40095000000000003"/>
    <n v="0.40095000000000003"/>
    <x v="1"/>
    <x v="2"/>
    <x v="0"/>
  </r>
  <r>
    <s v="QTG-93823-843"/>
    <x v="651"/>
    <s v="46859-14212-FI"/>
    <s v="A-M-0.5"/>
    <x v="19"/>
    <n v="1"/>
    <x v="843"/>
    <s v="csorrellph@amazon.com"/>
    <x v="2"/>
    <s v="Norton"/>
    <s v="Ara"/>
    <s v="M"/>
    <x v="1"/>
    <n v="6.75"/>
    <n v="6.75"/>
    <n v="0.60749999999999993"/>
    <n v="0.60749999999999993"/>
    <x v="2"/>
    <x v="0"/>
    <x v="1"/>
  </r>
  <r>
    <s v="QTG-93823-843"/>
    <x v="651"/>
    <s v="46859-14212-FI"/>
    <s v="E-D-0.5"/>
    <x v="6"/>
    <n v="3"/>
    <x v="843"/>
    <s v="csorrellph@amazon.com"/>
    <x v="2"/>
    <s v="Norton"/>
    <s v="Exc"/>
    <s v="D"/>
    <x v="1"/>
    <n v="7.29"/>
    <n v="21.87"/>
    <n v="0.80190000000000006"/>
    <n v="2.4057000000000004"/>
    <x v="1"/>
    <x v="2"/>
    <x v="1"/>
  </r>
  <r>
    <s v="WFT-16178-396"/>
    <x v="249"/>
    <s v="33555-01585-RP"/>
    <s v="R-D-0.2"/>
    <x v="25"/>
    <n v="5"/>
    <x v="844"/>
    <s v="qheavysidepj@unc.edu"/>
    <x v="0"/>
    <s v="Lexington"/>
    <s v="Rob"/>
    <s v="D"/>
    <x v="3"/>
    <n v="2.6849999999999996"/>
    <n v="13.424999999999997"/>
    <n v="0.16109999999999997"/>
    <n v="0.80549999999999988"/>
    <x v="0"/>
    <x v="2"/>
    <x v="0"/>
  </r>
  <r>
    <s v="ERC-54560-934"/>
    <x v="652"/>
    <s v="11932-85629-CU"/>
    <s v="R-D-2.5"/>
    <x v="11"/>
    <n v="6"/>
    <x v="845"/>
    <s v="hreuvenpk@whitehouse.gov"/>
    <x v="0"/>
    <s v="Grand Rapids"/>
    <s v="Rob"/>
    <s v="D"/>
    <x v="2"/>
    <n v="20.584999999999997"/>
    <n v="123.50999999999999"/>
    <n v="1.2350999999999999"/>
    <n v="7.4105999999999987"/>
    <x v="0"/>
    <x v="2"/>
    <x v="1"/>
  </r>
  <r>
    <s v="RUK-78200-416"/>
    <x v="653"/>
    <s v="36192-07175-XC"/>
    <s v="L-D-0.2"/>
    <x v="12"/>
    <n v="2"/>
    <x v="846"/>
    <s v="mattwoolpl@nba.com"/>
    <x v="0"/>
    <s v="Des Moines"/>
    <s v="Lib"/>
    <s v="D"/>
    <x v="3"/>
    <n v="3.8849999999999998"/>
    <n v="7.77"/>
    <n v="0.50505"/>
    <n v="1.0101"/>
    <x v="3"/>
    <x v="2"/>
    <x v="1"/>
  </r>
  <r>
    <s v="KHK-13105-388"/>
    <x v="177"/>
    <s v="46242-54946-ZW"/>
    <s v="A-M-1"/>
    <x v="17"/>
    <n v="6"/>
    <x v="847"/>
    <s v=""/>
    <x v="0"/>
    <s v="Wilmington"/>
    <s v="Ara"/>
    <s v="M"/>
    <x v="0"/>
    <n v="11.25"/>
    <n v="67.5"/>
    <n v="1.0125"/>
    <n v="6.0749999999999993"/>
    <x v="2"/>
    <x v="0"/>
    <x v="0"/>
  </r>
  <r>
    <s v="NJR-03699-189"/>
    <x v="22"/>
    <s v="95152-82155-VQ"/>
    <s v="E-D-2.5"/>
    <x v="47"/>
    <n v="1"/>
    <x v="848"/>
    <s v="gwynespn@dagondesign.com"/>
    <x v="0"/>
    <s v="Austin"/>
    <s v="Exc"/>
    <s v="D"/>
    <x v="2"/>
    <n v="27.945"/>
    <n v="27.945"/>
    <n v="3.07395"/>
    <n v="3.07395"/>
    <x v="1"/>
    <x v="2"/>
    <x v="1"/>
  </r>
  <r>
    <s v="PJV-20427-019"/>
    <x v="508"/>
    <s v="13404-39127-WQ"/>
    <s v="A-L-2.5"/>
    <x v="44"/>
    <n v="3"/>
    <x v="849"/>
    <s v="cmaccourtpo@amazon.com"/>
    <x v="0"/>
    <s v="Orlando"/>
    <s v="Ara"/>
    <s v="L"/>
    <x v="2"/>
    <n v="29.784999999999997"/>
    <n v="89.35499999999999"/>
    <n v="2.6806499999999995"/>
    <n v="8.0419499999999982"/>
    <x v="2"/>
    <x v="1"/>
    <x v="1"/>
  </r>
  <r>
    <s v="UGK-07613-982"/>
    <x v="654"/>
    <s v="57808-90533-UE"/>
    <s v="A-M-0.5"/>
    <x v="19"/>
    <n v="3"/>
    <x v="822"/>
    <s v=""/>
    <x v="0"/>
    <s v="New York City"/>
    <s v="Ara"/>
    <s v="M"/>
    <x v="1"/>
    <n v="6.75"/>
    <n v="20.25"/>
    <n v="0.60749999999999993"/>
    <n v="1.8224999999999998"/>
    <x v="2"/>
    <x v="0"/>
    <x v="1"/>
  </r>
  <r>
    <s v="OLA-68289-577"/>
    <x v="524"/>
    <s v="40226-52317-IO"/>
    <s v="A-M-0.5"/>
    <x v="19"/>
    <n v="5"/>
    <x v="850"/>
    <s v="ewilsonepq@eepurl.com"/>
    <x v="0"/>
    <s v="Washington"/>
    <s v="Ara"/>
    <s v="M"/>
    <x v="1"/>
    <n v="6.75"/>
    <n v="33.75"/>
    <n v="0.60749999999999993"/>
    <n v="3.0374999999999996"/>
    <x v="2"/>
    <x v="0"/>
    <x v="0"/>
  </r>
  <r>
    <s v="TNR-84447-052"/>
    <x v="655"/>
    <s v="34419-18068-AG"/>
    <s v="E-D-2.5"/>
    <x v="47"/>
    <n v="4"/>
    <x v="851"/>
    <s v="dduffiepr@time.com"/>
    <x v="0"/>
    <s v="Portland"/>
    <s v="Exc"/>
    <s v="D"/>
    <x v="2"/>
    <n v="27.945"/>
    <n v="111.78"/>
    <n v="3.07395"/>
    <n v="12.2958"/>
    <x v="1"/>
    <x v="2"/>
    <x v="1"/>
  </r>
  <r>
    <s v="FBZ-64200-586"/>
    <x v="523"/>
    <s v="51738-61457-RS"/>
    <s v="E-M-2.5"/>
    <x v="28"/>
    <n v="2"/>
    <x v="852"/>
    <s v="mmatiasekps@ucoz.ru"/>
    <x v="0"/>
    <s v="New York City"/>
    <s v="Exc"/>
    <s v="M"/>
    <x v="2"/>
    <n v="31.624999999999996"/>
    <n v="63.249999999999993"/>
    <n v="3.4787499999999998"/>
    <n v="6.9574999999999996"/>
    <x v="1"/>
    <x v="0"/>
    <x v="0"/>
  </r>
  <r>
    <s v="OBN-66334-505"/>
    <x v="656"/>
    <s v="86757-52367-ON"/>
    <s v="E-L-0.2"/>
    <x v="46"/>
    <n v="2"/>
    <x v="853"/>
    <s v="jcamillopt@shinystat.com"/>
    <x v="0"/>
    <s v="Washington"/>
    <s v="Exc"/>
    <s v="L"/>
    <x v="3"/>
    <n v="4.4550000000000001"/>
    <n v="8.91"/>
    <n v="0.49004999999999999"/>
    <n v="0.98009999999999997"/>
    <x v="1"/>
    <x v="1"/>
    <x v="0"/>
  </r>
  <r>
    <s v="NXM-89323-646"/>
    <x v="657"/>
    <s v="28158-93383-CK"/>
    <s v="E-D-1"/>
    <x v="45"/>
    <n v="1"/>
    <x v="854"/>
    <s v="kphilbrickpu@cdc.gov"/>
    <x v="0"/>
    <s v="Washington"/>
    <s v="Exc"/>
    <s v="D"/>
    <x v="0"/>
    <n v="12.15"/>
    <n v="12.15"/>
    <n v="1.3365"/>
    <n v="1.3365"/>
    <x v="1"/>
    <x v="2"/>
    <x v="0"/>
  </r>
  <r>
    <s v="NHI-23264-055"/>
    <x v="658"/>
    <s v="44799-09711-XW"/>
    <s v="A-D-0.5"/>
    <x v="20"/>
    <n v="4"/>
    <x v="855"/>
    <s v=""/>
    <x v="0"/>
    <s v="Allentown"/>
    <s v="Ara"/>
    <s v="D"/>
    <x v="1"/>
    <n v="5.97"/>
    <n v="23.88"/>
    <n v="0.5373"/>
    <n v="2.1492"/>
    <x v="2"/>
    <x v="2"/>
    <x v="0"/>
  </r>
  <r>
    <s v="EQH-53569-934"/>
    <x v="659"/>
    <s v="53667-91553-LT"/>
    <s v="E-M-1"/>
    <x v="3"/>
    <n v="4"/>
    <x v="856"/>
    <s v="bsillispw@istockphoto.com"/>
    <x v="0"/>
    <s v="Miami"/>
    <s v="Exc"/>
    <s v="M"/>
    <x v="0"/>
    <n v="13.75"/>
    <n v="55"/>
    <n v="1.5125"/>
    <n v="6.05"/>
    <x v="1"/>
    <x v="0"/>
    <x v="1"/>
  </r>
  <r>
    <s v="XKK-06692-189"/>
    <x v="558"/>
    <s v="86579-92122-OC"/>
    <s v="R-D-1"/>
    <x v="39"/>
    <n v="3"/>
    <x v="857"/>
    <s v=""/>
    <x v="0"/>
    <s v="Oklahoma City"/>
    <s v="Rob"/>
    <s v="D"/>
    <x v="0"/>
    <n v="8.9499999999999993"/>
    <n v="26.849999999999998"/>
    <n v="0.53699999999999992"/>
    <n v="1.6109999999999998"/>
    <x v="0"/>
    <x v="2"/>
    <x v="0"/>
  </r>
  <r>
    <s v="BYP-16005-016"/>
    <x v="660"/>
    <s v="01474-63436-TP"/>
    <s v="R-M-2.5"/>
    <x v="13"/>
    <n v="5"/>
    <x v="858"/>
    <s v="rcuttspy@techcrunch.com"/>
    <x v="0"/>
    <s v="Rockford"/>
    <s v="Rob"/>
    <s v="M"/>
    <x v="2"/>
    <n v="22.884999999999998"/>
    <n v="114.42499999999998"/>
    <n v="1.3730999999999998"/>
    <n v="6.865499999999999"/>
    <x v="0"/>
    <x v="0"/>
    <x v="1"/>
  </r>
  <r>
    <s v="LWS-13938-905"/>
    <x v="661"/>
    <s v="90533-82440-EE"/>
    <s v="A-M-2.5"/>
    <x v="37"/>
    <n v="6"/>
    <x v="859"/>
    <s v="mdelvespz@nature.com"/>
    <x v="0"/>
    <s v="Montgomery"/>
    <s v="Ara"/>
    <s v="M"/>
    <x v="2"/>
    <n v="25.874999999999996"/>
    <n v="155.24999999999997"/>
    <n v="2.3287499999999994"/>
    <n v="13.972499999999997"/>
    <x v="2"/>
    <x v="0"/>
    <x v="0"/>
  </r>
  <r>
    <s v="OLH-95722-362"/>
    <x v="662"/>
    <s v="48553-69225-VX"/>
    <s v="L-D-0.5"/>
    <x v="31"/>
    <n v="3"/>
    <x v="860"/>
    <s v="dgrittonq0@nydailynews.com"/>
    <x v="0"/>
    <s v="Pasadena"/>
    <s v="Lib"/>
    <s v="D"/>
    <x v="1"/>
    <n v="7.77"/>
    <n v="23.31"/>
    <n v="1.0101"/>
    <n v="3.0303"/>
    <x v="3"/>
    <x v="2"/>
    <x v="0"/>
  </r>
  <r>
    <s v="OLH-95722-362"/>
    <x v="662"/>
    <s v="48553-69225-VX"/>
    <s v="R-M-2.5"/>
    <x v="13"/>
    <n v="4"/>
    <x v="860"/>
    <s v="dgrittonq0@nydailynews.com"/>
    <x v="0"/>
    <s v="Pasadena"/>
    <s v="Rob"/>
    <s v="M"/>
    <x v="2"/>
    <n v="22.884999999999998"/>
    <n v="91.539999999999992"/>
    <n v="1.3730999999999998"/>
    <n v="5.4923999999999991"/>
    <x v="0"/>
    <x v="0"/>
    <x v="0"/>
  </r>
  <r>
    <s v="KCW-50949-318"/>
    <x v="184"/>
    <s v="52374-27313-IV"/>
    <s v="E-L-1"/>
    <x v="33"/>
    <n v="5"/>
    <x v="861"/>
    <s v="dgutq2@umich.edu"/>
    <x v="0"/>
    <s v="Houston"/>
    <s v="Exc"/>
    <s v="L"/>
    <x v="0"/>
    <n v="14.85"/>
    <n v="74.25"/>
    <n v="1.6335"/>
    <n v="8.1675000000000004"/>
    <x v="1"/>
    <x v="1"/>
    <x v="0"/>
  </r>
  <r>
    <s v="JGZ-16947-591"/>
    <x v="663"/>
    <s v="14264-41252-SL"/>
    <s v="L-L-0.2"/>
    <x v="7"/>
    <n v="6"/>
    <x v="862"/>
    <s v="wpummeryq3@topsy.com"/>
    <x v="0"/>
    <s v="Muskegon"/>
    <s v="Lib"/>
    <s v="L"/>
    <x v="3"/>
    <n v="4.7549999999999999"/>
    <n v="28.53"/>
    <n v="0.61814999999999998"/>
    <n v="3.7088999999999999"/>
    <x v="3"/>
    <x v="1"/>
    <x v="1"/>
  </r>
  <r>
    <s v="LXS-63326-144"/>
    <x v="334"/>
    <s v="35367-50483-AR"/>
    <s v="R-L-0.5"/>
    <x v="35"/>
    <n v="2"/>
    <x v="863"/>
    <s v="gsiudaq4@nytimes.com"/>
    <x v="0"/>
    <s v="Washington"/>
    <s v="Rob"/>
    <s v="L"/>
    <x v="1"/>
    <n v="7.169999999999999"/>
    <n v="14.339999999999998"/>
    <n v="0.43019999999999992"/>
    <n v="0.86039999999999983"/>
    <x v="0"/>
    <x v="1"/>
    <x v="0"/>
  </r>
  <r>
    <s v="CZG-86544-655"/>
    <x v="664"/>
    <s v="69443-77665-QW"/>
    <s v="A-L-0.5"/>
    <x v="42"/>
    <n v="2"/>
    <x v="864"/>
    <s v="hcrowneq5@wufoo.com"/>
    <x v="1"/>
    <s v="Sallins"/>
    <s v="Ara"/>
    <s v="L"/>
    <x v="1"/>
    <n v="7.77"/>
    <n v="15.54"/>
    <n v="0.69929999999999992"/>
    <n v="1.3985999999999998"/>
    <x v="2"/>
    <x v="1"/>
    <x v="0"/>
  </r>
  <r>
    <s v="WFV-88138-247"/>
    <x v="24"/>
    <s v="63411-51758-QC"/>
    <s v="R-L-1"/>
    <x v="41"/>
    <n v="3"/>
    <x v="865"/>
    <s v="vpawseyq6@tiny.cc"/>
    <x v="0"/>
    <s v="Macon"/>
    <s v="Rob"/>
    <s v="L"/>
    <x v="0"/>
    <n v="11.95"/>
    <n v="35.849999999999994"/>
    <n v="0.71699999999999997"/>
    <n v="2.1509999999999998"/>
    <x v="0"/>
    <x v="1"/>
    <x v="1"/>
  </r>
  <r>
    <s v="RFG-28227-288"/>
    <x v="12"/>
    <s v="68605-21835-UF"/>
    <s v="A-L-0.5"/>
    <x v="42"/>
    <n v="6"/>
    <x v="866"/>
    <s v="awaterhouseq7@istockphoto.com"/>
    <x v="0"/>
    <s v="Shreveport"/>
    <s v="Ara"/>
    <s v="L"/>
    <x v="1"/>
    <n v="7.77"/>
    <n v="46.62"/>
    <n v="0.69929999999999992"/>
    <n v="4.1957999999999993"/>
    <x v="2"/>
    <x v="1"/>
    <x v="1"/>
  </r>
  <r>
    <s v="QAK-77286-758"/>
    <x v="105"/>
    <s v="34786-30419-XY"/>
    <s v="R-L-0.5"/>
    <x v="35"/>
    <n v="5"/>
    <x v="867"/>
    <s v="fhaughianq8@1688.com"/>
    <x v="0"/>
    <s v="Tacoma"/>
    <s v="Rob"/>
    <s v="L"/>
    <x v="1"/>
    <n v="7.169999999999999"/>
    <n v="35.849999999999994"/>
    <n v="0.43019999999999992"/>
    <n v="2.1509999999999998"/>
    <x v="0"/>
    <x v="1"/>
    <x v="1"/>
  </r>
  <r>
    <s v="CZD-56716-840"/>
    <x v="665"/>
    <s v="15456-29250-RU"/>
    <s v="L-D-2.5"/>
    <x v="27"/>
    <n v="4"/>
    <x v="868"/>
    <s v=""/>
    <x v="0"/>
    <s v="El Paso"/>
    <s v="Lib"/>
    <s v="D"/>
    <x v="2"/>
    <n v="29.784999999999997"/>
    <n v="119.13999999999999"/>
    <n v="3.8720499999999998"/>
    <n v="15.488199999999999"/>
    <x v="3"/>
    <x v="2"/>
    <x v="1"/>
  </r>
  <r>
    <s v="UBI-59229-277"/>
    <x v="44"/>
    <s v="00886-35803-FG"/>
    <s v="L-D-0.5"/>
    <x v="31"/>
    <n v="3"/>
    <x v="869"/>
    <s v=""/>
    <x v="0"/>
    <s v="Birmingham"/>
    <s v="Lib"/>
    <s v="D"/>
    <x v="1"/>
    <n v="7.77"/>
    <n v="23.31"/>
    <n v="1.0101"/>
    <n v="3.0303"/>
    <x v="3"/>
    <x v="2"/>
    <x v="1"/>
  </r>
  <r>
    <s v="WJJ-37489-898"/>
    <x v="171"/>
    <s v="31599-82152-AD"/>
    <s v="A-M-1"/>
    <x v="17"/>
    <n v="1"/>
    <x v="870"/>
    <s v="rfaltinqb@topsy.com"/>
    <x v="1"/>
    <s v="Portumna"/>
    <s v="Ara"/>
    <s v="M"/>
    <x v="0"/>
    <n v="11.25"/>
    <n v="11.25"/>
    <n v="1.0125"/>
    <n v="1.0125"/>
    <x v="2"/>
    <x v="0"/>
    <x v="1"/>
  </r>
  <r>
    <s v="ORX-57454-917"/>
    <x v="328"/>
    <s v="76209-39601-ZR"/>
    <s v="E-D-2.5"/>
    <x v="47"/>
    <n v="3"/>
    <x v="871"/>
    <s v="gcheekeqc@sitemeter.com"/>
    <x v="2"/>
    <s v="London"/>
    <s v="Exc"/>
    <s v="D"/>
    <x v="2"/>
    <n v="27.945"/>
    <n v="83.835000000000008"/>
    <n v="3.07395"/>
    <n v="9.2218499999999999"/>
    <x v="1"/>
    <x v="2"/>
    <x v="0"/>
  </r>
  <r>
    <s v="GRB-68838-629"/>
    <x v="648"/>
    <s v="15064-65241-HB"/>
    <s v="R-L-2.5"/>
    <x v="4"/>
    <n v="4"/>
    <x v="872"/>
    <s v="grattqd@phpbb.com"/>
    <x v="1"/>
    <s v="Castlemartyr"/>
    <s v="Rob"/>
    <s v="L"/>
    <x v="2"/>
    <n v="27.484999999999996"/>
    <n v="109.93999999999998"/>
    <n v="1.6490999999999998"/>
    <n v="6.5963999999999992"/>
    <x v="0"/>
    <x v="1"/>
    <x v="1"/>
  </r>
  <r>
    <s v="SHT-04865-419"/>
    <x v="666"/>
    <s v="69215-90789-DL"/>
    <s v="R-L-0.2"/>
    <x v="40"/>
    <n v="4"/>
    <x v="873"/>
    <s v=""/>
    <x v="0"/>
    <s v="Wilmington"/>
    <s v="Rob"/>
    <s v="L"/>
    <x v="3"/>
    <n v="3.5849999999999995"/>
    <n v="14.339999999999998"/>
    <n v="0.21509999999999996"/>
    <n v="0.86039999999999983"/>
    <x v="0"/>
    <x v="1"/>
    <x v="0"/>
  </r>
  <r>
    <s v="UQI-28177-865"/>
    <x v="577"/>
    <s v="04317-46176-TB"/>
    <s v="R-L-0.2"/>
    <x v="40"/>
    <n v="6"/>
    <x v="874"/>
    <s v="ieberleinqf@hc360.com"/>
    <x v="0"/>
    <s v="Harrisburg"/>
    <s v="Rob"/>
    <s v="L"/>
    <x v="3"/>
    <n v="3.5849999999999995"/>
    <n v="21.509999999999998"/>
    <n v="0.21509999999999996"/>
    <n v="1.2905999999999997"/>
    <x v="0"/>
    <x v="1"/>
    <x v="1"/>
  </r>
  <r>
    <s v="OIB-13664-879"/>
    <x v="114"/>
    <s v="04713-57765-KR"/>
    <s v="A-M-1"/>
    <x v="17"/>
    <n v="2"/>
    <x v="875"/>
    <s v="jdrengqg@uiuc.edu"/>
    <x v="1"/>
    <s v="Sallins"/>
    <s v="Ara"/>
    <s v="M"/>
    <x v="0"/>
    <n v="11.25"/>
    <n v="22.5"/>
    <n v="1.0125"/>
    <n v="2.0249999999999999"/>
    <x v="2"/>
    <x v="0"/>
    <x v="0"/>
  </r>
  <r>
    <s v="PJS-30996-485"/>
    <x v="4"/>
    <s v="86579-92122-OC"/>
    <s v="A-L-0.2"/>
    <x v="29"/>
    <n v="1"/>
    <x v="857"/>
    <s v=""/>
    <x v="0"/>
    <s v="Oklahoma City"/>
    <s v="Ara"/>
    <s v="L"/>
    <x v="3"/>
    <n v="3.8849999999999998"/>
    <n v="3.8849999999999998"/>
    <n v="0.34964999999999996"/>
    <n v="0.34964999999999996"/>
    <x v="2"/>
    <x v="1"/>
    <x v="0"/>
  </r>
  <r>
    <s v="HEL-86709-449"/>
    <x v="667"/>
    <s v="86579-92122-OC"/>
    <s v="E-D-2.5"/>
    <x v="47"/>
    <n v="1"/>
    <x v="857"/>
    <s v=""/>
    <x v="0"/>
    <s v="Oklahoma City"/>
    <s v="Exc"/>
    <s v="D"/>
    <x v="2"/>
    <n v="27.945"/>
    <n v="27.945"/>
    <n v="3.07395"/>
    <n v="3.07395"/>
    <x v="1"/>
    <x v="2"/>
    <x v="0"/>
  </r>
  <r>
    <s v="NCH-55389-562"/>
    <x v="110"/>
    <s v="86579-92122-OC"/>
    <s v="E-L-2.5"/>
    <x v="10"/>
    <n v="5"/>
    <x v="857"/>
    <s v=""/>
    <x v="0"/>
    <s v="Oklahoma City"/>
    <s v="Exc"/>
    <s v="L"/>
    <x v="2"/>
    <n v="34.154999999999994"/>
    <n v="170.77499999999998"/>
    <n v="3.7570499999999996"/>
    <n v="18.785249999999998"/>
    <x v="1"/>
    <x v="1"/>
    <x v="0"/>
  </r>
  <r>
    <s v="NCH-55389-562"/>
    <x v="110"/>
    <s v="86579-92122-OC"/>
    <s v="R-L-2.5"/>
    <x v="4"/>
    <n v="2"/>
    <x v="857"/>
    <s v=""/>
    <x v="0"/>
    <s v="Oklahoma City"/>
    <s v="Rob"/>
    <s v="L"/>
    <x v="2"/>
    <n v="27.484999999999996"/>
    <n v="54.969999999999992"/>
    <n v="1.6490999999999998"/>
    <n v="3.2981999999999996"/>
    <x v="0"/>
    <x v="1"/>
    <x v="0"/>
  </r>
  <r>
    <s v="NCH-55389-562"/>
    <x v="110"/>
    <s v="86579-92122-OC"/>
    <s v="E-L-1"/>
    <x v="33"/>
    <n v="1"/>
    <x v="857"/>
    <s v=""/>
    <x v="0"/>
    <s v="Oklahoma City"/>
    <s v="Exc"/>
    <s v="L"/>
    <x v="0"/>
    <n v="14.85"/>
    <n v="14.85"/>
    <n v="1.6335"/>
    <n v="1.6335"/>
    <x v="1"/>
    <x v="1"/>
    <x v="0"/>
  </r>
  <r>
    <s v="NCH-55389-562"/>
    <x v="110"/>
    <s v="86579-92122-OC"/>
    <s v="A-L-0.2"/>
    <x v="29"/>
    <n v="2"/>
    <x v="857"/>
    <s v=""/>
    <x v="0"/>
    <s v="Oklahoma City"/>
    <s v="Ara"/>
    <s v="L"/>
    <x v="3"/>
    <n v="3.8849999999999998"/>
    <n v="7.77"/>
    <n v="0.34964999999999996"/>
    <n v="0.69929999999999992"/>
    <x v="2"/>
    <x v="1"/>
    <x v="0"/>
  </r>
  <r>
    <s v="GUG-45603-775"/>
    <x v="668"/>
    <s v="40959-32642-DN"/>
    <s v="L-L-0.2"/>
    <x v="7"/>
    <n v="5"/>
    <x v="876"/>
    <s v="rstrathernqn@devhub.com"/>
    <x v="0"/>
    <s v="Little Rock"/>
    <s v="Lib"/>
    <s v="L"/>
    <x v="3"/>
    <n v="4.7549999999999999"/>
    <n v="23.774999999999999"/>
    <n v="0.61814999999999998"/>
    <n v="3.0907499999999999"/>
    <x v="3"/>
    <x v="1"/>
    <x v="0"/>
  </r>
  <r>
    <s v="KJB-98240-098"/>
    <x v="422"/>
    <s v="77746-08153-PM"/>
    <s v="L-L-1"/>
    <x v="32"/>
    <n v="5"/>
    <x v="877"/>
    <s v="cmiguelqo@exblog.jp"/>
    <x v="0"/>
    <s v="Hagerstown"/>
    <s v="Lib"/>
    <s v="L"/>
    <x v="0"/>
    <n v="15.85"/>
    <n v="79.25"/>
    <n v="2.0605000000000002"/>
    <n v="10.302500000000002"/>
    <x v="3"/>
    <x v="1"/>
    <x v="0"/>
  </r>
  <r>
    <s v="JMS-48374-462"/>
    <x v="669"/>
    <s v="49667-96708-JL"/>
    <s v="A-D-2.5"/>
    <x v="30"/>
    <n v="2"/>
    <x v="878"/>
    <s v=""/>
    <x v="0"/>
    <s v="Albany"/>
    <s v="Ara"/>
    <s v="D"/>
    <x v="2"/>
    <n v="22.884999999999998"/>
    <n v="45.769999999999996"/>
    <n v="2.0596499999999995"/>
    <n v="4.1192999999999991"/>
    <x v="2"/>
    <x v="2"/>
    <x v="0"/>
  </r>
  <r>
    <s v="YIT-15877-117"/>
    <x v="670"/>
    <s v="24155-79322-EQ"/>
    <s v="R-D-1"/>
    <x v="39"/>
    <n v="1"/>
    <x v="879"/>
    <s v="mrocksqq@exblog.jp"/>
    <x v="1"/>
    <s v="Crossmolina"/>
    <s v="Rob"/>
    <s v="D"/>
    <x v="0"/>
    <n v="8.9499999999999993"/>
    <n v="8.9499999999999993"/>
    <n v="0.53699999999999992"/>
    <n v="0.53699999999999992"/>
    <x v="0"/>
    <x v="2"/>
    <x v="0"/>
  </r>
  <r>
    <s v="YVK-82679-655"/>
    <x v="341"/>
    <s v="95342-88311-SF"/>
    <s v="R-M-0.5"/>
    <x v="8"/>
    <n v="4"/>
    <x v="880"/>
    <s v="yburrellsqr@vinaora.com"/>
    <x v="0"/>
    <s v="Lexington"/>
    <s v="Rob"/>
    <s v="M"/>
    <x v="1"/>
    <n v="5.97"/>
    <n v="23.88"/>
    <n v="0.35819999999999996"/>
    <n v="1.4327999999999999"/>
    <x v="0"/>
    <x v="0"/>
    <x v="0"/>
  </r>
  <r>
    <s v="TYH-81940-054"/>
    <x v="671"/>
    <s v="69374-08133-RI"/>
    <s v="E-L-0.2"/>
    <x v="46"/>
    <n v="5"/>
    <x v="881"/>
    <s v="cgoodrumqs@goodreads.com"/>
    <x v="0"/>
    <s v="San Diego"/>
    <s v="Exc"/>
    <s v="L"/>
    <x v="3"/>
    <n v="4.4550000000000001"/>
    <n v="22.274999999999999"/>
    <n v="0.49004999999999999"/>
    <n v="2.45025"/>
    <x v="1"/>
    <x v="1"/>
    <x v="1"/>
  </r>
  <r>
    <s v="HTY-30660-254"/>
    <x v="672"/>
    <s v="83844-95908-RX"/>
    <s v="R-M-1"/>
    <x v="0"/>
    <n v="3"/>
    <x v="882"/>
    <s v="jjefferysqt@blog.com"/>
    <x v="0"/>
    <s v="Los Angeles"/>
    <s v="Rob"/>
    <s v="M"/>
    <x v="0"/>
    <n v="9.9499999999999993"/>
    <n v="29.849999999999998"/>
    <n v="0.59699999999999998"/>
    <n v="1.7909999999999999"/>
    <x v="0"/>
    <x v="0"/>
    <x v="0"/>
  </r>
  <r>
    <s v="GPW-43956-761"/>
    <x v="673"/>
    <s v="09667-09231-YM"/>
    <s v="E-L-0.5"/>
    <x v="38"/>
    <n v="6"/>
    <x v="883"/>
    <s v="bwardellqu@adobe.com"/>
    <x v="0"/>
    <s v="Brooklyn"/>
    <s v="Exc"/>
    <s v="L"/>
    <x v="1"/>
    <n v="8.91"/>
    <n v="53.46"/>
    <n v="0.98009999999999997"/>
    <n v="5.8805999999999994"/>
    <x v="1"/>
    <x v="1"/>
    <x v="0"/>
  </r>
  <r>
    <s v="DWY-56352-412"/>
    <x v="674"/>
    <s v="55427-08059-DF"/>
    <s v="R-D-0.2"/>
    <x v="25"/>
    <n v="1"/>
    <x v="884"/>
    <s v="zwalisiakqv@ucsd.edu"/>
    <x v="1"/>
    <s v="Booterstown"/>
    <s v="Rob"/>
    <s v="D"/>
    <x v="3"/>
    <n v="2.6849999999999996"/>
    <n v="2.6849999999999996"/>
    <n v="0.16109999999999997"/>
    <n v="0.16109999999999997"/>
    <x v="0"/>
    <x v="2"/>
    <x v="0"/>
  </r>
  <r>
    <s v="PUH-55647-976"/>
    <x v="675"/>
    <s v="06624-54037-BQ"/>
    <s v="R-M-0.2"/>
    <x v="36"/>
    <n v="2"/>
    <x v="885"/>
    <s v="wleopoldqw@blogspot.com"/>
    <x v="0"/>
    <s v="Gainesville"/>
    <s v="Rob"/>
    <s v="M"/>
    <x v="3"/>
    <n v="2.9849999999999999"/>
    <n v="5.97"/>
    <n v="0.17909999999999998"/>
    <n v="0.35819999999999996"/>
    <x v="0"/>
    <x v="0"/>
    <x v="1"/>
  </r>
  <r>
    <s v="DTB-71371-705"/>
    <x v="539"/>
    <s v="48544-90737-AZ"/>
    <s v="L-D-1"/>
    <x v="5"/>
    <n v="1"/>
    <x v="886"/>
    <s v="cshaldersqx@cisco.com"/>
    <x v="0"/>
    <s v="Clearwater"/>
    <s v="Lib"/>
    <s v="D"/>
    <x v="0"/>
    <n v="12.95"/>
    <n v="12.95"/>
    <n v="1.6835"/>
    <n v="1.6835"/>
    <x v="3"/>
    <x v="2"/>
    <x v="0"/>
  </r>
  <r>
    <s v="ZDC-64769-740"/>
    <x v="676"/>
    <s v="79463-01597-FQ"/>
    <s v="E-M-0.5"/>
    <x v="1"/>
    <n v="1"/>
    <x v="887"/>
    <s v=""/>
    <x v="0"/>
    <s v="Amarillo"/>
    <s v="Exc"/>
    <s v="M"/>
    <x v="1"/>
    <n v="8.25"/>
    <n v="8.25"/>
    <n v="0.90749999999999997"/>
    <n v="0.90749999999999997"/>
    <x v="1"/>
    <x v="0"/>
    <x v="1"/>
  </r>
  <r>
    <s v="TED-81959-419"/>
    <x v="677"/>
    <s v="27702-50024-XC"/>
    <s v="A-L-2.5"/>
    <x v="44"/>
    <n v="5"/>
    <x v="888"/>
    <s v="nfurberqz@jugem.jp"/>
    <x v="0"/>
    <s v="Fort Worth"/>
    <s v="Ara"/>
    <s v="L"/>
    <x v="2"/>
    <n v="29.784999999999997"/>
    <n v="148.92499999999998"/>
    <n v="2.6806499999999995"/>
    <n v="13.403249999999998"/>
    <x v="2"/>
    <x v="1"/>
    <x v="1"/>
  </r>
  <r>
    <s v="FDO-25756-141"/>
    <x v="629"/>
    <s v="57360-46846-NS"/>
    <s v="A-L-2.5"/>
    <x v="44"/>
    <n v="3"/>
    <x v="889"/>
    <s v=""/>
    <x v="1"/>
    <s v="Lusk"/>
    <s v="Ara"/>
    <s v="L"/>
    <x v="2"/>
    <n v="29.784999999999997"/>
    <n v="89.35499999999999"/>
    <n v="2.6806499999999995"/>
    <n v="8.0419499999999982"/>
    <x v="2"/>
    <x v="1"/>
    <x v="0"/>
  </r>
  <r>
    <s v="HKN-31467-517"/>
    <x v="662"/>
    <s v="84045-66771-SL"/>
    <s v="L-M-1"/>
    <x v="24"/>
    <n v="6"/>
    <x v="890"/>
    <s v="ckeaver1@ucoz.com"/>
    <x v="0"/>
    <s v="Pensacola"/>
    <s v="Lib"/>
    <s v="M"/>
    <x v="0"/>
    <n v="14.55"/>
    <n v="87.300000000000011"/>
    <n v="1.8915000000000002"/>
    <n v="11.349"/>
    <x v="3"/>
    <x v="0"/>
    <x v="1"/>
  </r>
  <r>
    <s v="POF-29666-012"/>
    <x v="102"/>
    <s v="46885-00260-TL"/>
    <s v="R-D-0.5"/>
    <x v="34"/>
    <n v="1"/>
    <x v="891"/>
    <s v="sroseboroughr2@virginia.edu"/>
    <x v="0"/>
    <s v="Tacoma"/>
    <s v="Rob"/>
    <s v="D"/>
    <x v="1"/>
    <n v="5.3699999999999992"/>
    <n v="5.3699999999999992"/>
    <n v="0.32219999999999993"/>
    <n v="0.32219999999999993"/>
    <x v="0"/>
    <x v="2"/>
    <x v="0"/>
  </r>
  <r>
    <s v="IRX-59256-644"/>
    <x v="678"/>
    <s v="96446-62142-EN"/>
    <s v="A-D-0.2"/>
    <x v="16"/>
    <n v="3"/>
    <x v="892"/>
    <s v="ckingwellr3@squarespace.com"/>
    <x v="1"/>
    <s v="Rathnew"/>
    <s v="Ara"/>
    <s v="D"/>
    <x v="3"/>
    <n v="2.9849999999999999"/>
    <n v="8.9550000000000001"/>
    <n v="0.26865"/>
    <n v="0.80594999999999994"/>
    <x v="2"/>
    <x v="2"/>
    <x v="0"/>
  </r>
  <r>
    <s v="LTN-89139-350"/>
    <x v="679"/>
    <s v="07756-71018-GU"/>
    <s v="R-L-2.5"/>
    <x v="4"/>
    <n v="5"/>
    <x v="893"/>
    <s v="kcantor4@gmpg.org"/>
    <x v="0"/>
    <s v="Fort Wayne"/>
    <s v="Rob"/>
    <s v="L"/>
    <x v="2"/>
    <n v="27.484999999999996"/>
    <n v="137.42499999999998"/>
    <n v="1.6490999999999998"/>
    <n v="8.2454999999999998"/>
    <x v="0"/>
    <x v="1"/>
    <x v="0"/>
  </r>
  <r>
    <s v="TXF-79780-017"/>
    <x v="112"/>
    <s v="92048-47813-QB"/>
    <s v="R-L-1"/>
    <x v="41"/>
    <n v="5"/>
    <x v="894"/>
    <s v="mblakemorer5@nsw.gov.au"/>
    <x v="0"/>
    <s v="Amarillo"/>
    <s v="Rob"/>
    <s v="L"/>
    <x v="0"/>
    <n v="11.95"/>
    <n v="59.75"/>
    <n v="0.71699999999999997"/>
    <n v="3.585"/>
    <x v="0"/>
    <x v="1"/>
    <x v="1"/>
  </r>
  <r>
    <s v="ALM-80762-974"/>
    <x v="55"/>
    <s v="84045-66771-SL"/>
    <s v="A-L-0.5"/>
    <x v="42"/>
    <n v="3"/>
    <x v="890"/>
    <s v="ckeaver1@ucoz.com"/>
    <x v="0"/>
    <s v="Pensacola"/>
    <s v="Ara"/>
    <s v="L"/>
    <x v="1"/>
    <n v="7.77"/>
    <n v="23.31"/>
    <n v="0.69929999999999992"/>
    <n v="2.0978999999999997"/>
    <x v="2"/>
    <x v="1"/>
    <x v="1"/>
  </r>
  <r>
    <s v="NXF-15738-707"/>
    <x v="680"/>
    <s v="28699-16256-XV"/>
    <s v="R-D-0.5"/>
    <x v="34"/>
    <n v="2"/>
    <x v="895"/>
    <s v=""/>
    <x v="0"/>
    <s v="Silver Spring"/>
    <s v="Rob"/>
    <s v="D"/>
    <x v="1"/>
    <n v="5.3699999999999992"/>
    <n v="10.739999999999998"/>
    <n v="0.32219999999999993"/>
    <n v="0.64439999999999986"/>
    <x v="0"/>
    <x v="2"/>
    <x v="1"/>
  </r>
  <r>
    <s v="MVV-19034-198"/>
    <x v="94"/>
    <s v="98476-63654-CG"/>
    <s v="E-D-2.5"/>
    <x v="47"/>
    <n v="6"/>
    <x v="896"/>
    <s v=""/>
    <x v="0"/>
    <s v="Madison"/>
    <s v="Exc"/>
    <s v="D"/>
    <x v="2"/>
    <n v="27.945"/>
    <n v="167.67000000000002"/>
    <n v="3.07395"/>
    <n v="18.4437"/>
    <x v="1"/>
    <x v="2"/>
    <x v="0"/>
  </r>
  <r>
    <s v="KUX-19632-830"/>
    <x v="160"/>
    <s v="55409-07759-YG"/>
    <s v="E-D-0.2"/>
    <x v="15"/>
    <n v="6"/>
    <x v="897"/>
    <s v="cbernardotr9@wix.com"/>
    <x v="0"/>
    <s v="Conroe"/>
    <s v="Exc"/>
    <s v="D"/>
    <x v="3"/>
    <n v="3.645"/>
    <n v="21.87"/>
    <n v="0.40095000000000003"/>
    <n v="2.4057000000000004"/>
    <x v="1"/>
    <x v="2"/>
    <x v="0"/>
  </r>
  <r>
    <s v="SNZ-44595-152"/>
    <x v="681"/>
    <s v="06136-65250-PG"/>
    <s v="R-L-1"/>
    <x v="41"/>
    <n v="2"/>
    <x v="898"/>
    <s v="kkemeryra@t.co"/>
    <x v="0"/>
    <s v="Denton"/>
    <s v="Rob"/>
    <s v="L"/>
    <x v="0"/>
    <n v="11.95"/>
    <n v="23.9"/>
    <n v="0.71699999999999997"/>
    <n v="1.4339999999999999"/>
    <x v="0"/>
    <x v="1"/>
    <x v="0"/>
  </r>
  <r>
    <s v="GQA-37241-629"/>
    <x v="502"/>
    <s v="08405-33165-BS"/>
    <s v="A-M-0.2"/>
    <x v="14"/>
    <n v="2"/>
    <x v="899"/>
    <s v="fparlotrb@forbes.com"/>
    <x v="0"/>
    <s v="Columbus"/>
    <s v="Ara"/>
    <s v="M"/>
    <x v="3"/>
    <n v="3.375"/>
    <n v="6.75"/>
    <n v="0.30374999999999996"/>
    <n v="0.60749999999999993"/>
    <x v="2"/>
    <x v="0"/>
    <x v="0"/>
  </r>
  <r>
    <s v="WVV-79948-067"/>
    <x v="682"/>
    <s v="66070-30559-WI"/>
    <s v="E-M-2.5"/>
    <x v="28"/>
    <n v="1"/>
    <x v="900"/>
    <s v="rcheakrc@tripadvisor.com"/>
    <x v="1"/>
    <s v="Bundoran"/>
    <s v="Exc"/>
    <s v="M"/>
    <x v="2"/>
    <n v="31.624999999999996"/>
    <n v="31.624999999999996"/>
    <n v="3.4787499999999998"/>
    <n v="3.4787499999999998"/>
    <x v="1"/>
    <x v="0"/>
    <x v="0"/>
  </r>
  <r>
    <s v="LHX-81117-166"/>
    <x v="683"/>
    <s v="01282-28364-RZ"/>
    <s v="R-L-1"/>
    <x v="41"/>
    <n v="4"/>
    <x v="901"/>
    <s v="kogeneayrd@utexas.edu"/>
    <x v="0"/>
    <s v="Aurora"/>
    <s v="Rob"/>
    <s v="L"/>
    <x v="0"/>
    <n v="11.95"/>
    <n v="47.8"/>
    <n v="0.71699999999999997"/>
    <n v="2.8679999999999999"/>
    <x v="0"/>
    <x v="1"/>
    <x v="1"/>
  </r>
  <r>
    <s v="GCD-75444-320"/>
    <x v="594"/>
    <s v="51277-93873-RP"/>
    <s v="L-M-2.5"/>
    <x v="43"/>
    <n v="1"/>
    <x v="902"/>
    <s v="cayrere@symantec.com"/>
    <x v="0"/>
    <s v="Daytona Beach"/>
    <s v="Lib"/>
    <s v="M"/>
    <x v="2"/>
    <n v="33.464999999999996"/>
    <n v="33.464999999999996"/>
    <n v="4.3504499999999995"/>
    <n v="4.3504499999999995"/>
    <x v="3"/>
    <x v="0"/>
    <x v="1"/>
  </r>
  <r>
    <s v="SGA-30059-217"/>
    <x v="389"/>
    <s v="84405-83364-DG"/>
    <s v="A-D-0.5"/>
    <x v="20"/>
    <n v="5"/>
    <x v="903"/>
    <s v="lkynetonrf@macromedia.com"/>
    <x v="2"/>
    <s v="Seaton"/>
    <s v="Ara"/>
    <s v="D"/>
    <x v="1"/>
    <n v="5.97"/>
    <n v="29.849999999999998"/>
    <n v="0.5373"/>
    <n v="2.6865000000000001"/>
    <x v="2"/>
    <x v="2"/>
    <x v="0"/>
  </r>
  <r>
    <s v="GNL-98714-885"/>
    <x v="583"/>
    <s v="83731-53280-YC"/>
    <s v="R-M-1"/>
    <x v="0"/>
    <n v="3"/>
    <x v="904"/>
    <s v=""/>
    <x v="2"/>
    <s v="Wirral"/>
    <s v="Rob"/>
    <s v="M"/>
    <x v="0"/>
    <n v="9.9499999999999993"/>
    <n v="29.849999999999998"/>
    <n v="0.59699999999999998"/>
    <n v="1.7909999999999999"/>
    <x v="0"/>
    <x v="0"/>
    <x v="0"/>
  </r>
  <r>
    <s v="OQA-93249-841"/>
    <x v="647"/>
    <s v="03917-13632-KC"/>
    <s v="A-M-2.5"/>
    <x v="37"/>
    <n v="6"/>
    <x v="905"/>
    <s v=""/>
    <x v="0"/>
    <s v="Saint Louis"/>
    <s v="Ara"/>
    <s v="M"/>
    <x v="2"/>
    <n v="25.874999999999996"/>
    <n v="155.24999999999997"/>
    <n v="2.3287499999999994"/>
    <n v="13.972499999999997"/>
    <x v="2"/>
    <x v="0"/>
    <x v="0"/>
  </r>
  <r>
    <s v="DUV-12075-132"/>
    <x v="366"/>
    <s v="62494-09113-RP"/>
    <s v="E-D-0.2"/>
    <x v="15"/>
    <n v="5"/>
    <x v="906"/>
    <s v=""/>
    <x v="0"/>
    <s v="Fort Smith"/>
    <s v="Exc"/>
    <s v="D"/>
    <x v="3"/>
    <n v="3.645"/>
    <n v="18.225000000000001"/>
    <n v="0.40095000000000003"/>
    <n v="2.00475"/>
    <x v="1"/>
    <x v="2"/>
    <x v="1"/>
  </r>
  <r>
    <s v="DUV-12075-132"/>
    <x v="366"/>
    <s v="62494-09113-RP"/>
    <s v="L-D-0.5"/>
    <x v="31"/>
    <n v="2"/>
    <x v="906"/>
    <s v=""/>
    <x v="0"/>
    <s v="Fort Smith"/>
    <s v="Lib"/>
    <s v="D"/>
    <x v="1"/>
    <n v="7.77"/>
    <n v="15.54"/>
    <n v="1.0101"/>
    <n v="2.0202"/>
    <x v="3"/>
    <x v="2"/>
    <x v="1"/>
  </r>
  <r>
    <s v="KPO-24942-184"/>
    <x v="684"/>
    <s v="70567-65133-CN"/>
    <s v="L-L-2.5"/>
    <x v="26"/>
    <n v="3"/>
    <x v="907"/>
    <s v=""/>
    <x v="1"/>
    <s v="Bagenalstown"/>
    <s v="Lib"/>
    <s v="L"/>
    <x v="2"/>
    <n v="36.454999999999998"/>
    <n v="109.36499999999999"/>
    <n v="4.7391499999999995"/>
    <n v="14.217449999999999"/>
    <x v="3"/>
    <x v="1"/>
    <x v="1"/>
  </r>
  <r>
    <s v="SRJ-79353-838"/>
    <x v="506"/>
    <s v="77869-81373-AY"/>
    <s v="A-L-1"/>
    <x v="2"/>
    <n v="6"/>
    <x v="908"/>
    <s v=""/>
    <x v="0"/>
    <s v="Philadelphia"/>
    <s v="Ara"/>
    <s v="L"/>
    <x v="0"/>
    <n v="12.95"/>
    <n v="77.699999999999989"/>
    <n v="1.1655"/>
    <n v="6.9930000000000003"/>
    <x v="2"/>
    <x v="1"/>
    <x v="1"/>
  </r>
  <r>
    <s v="XBV-40336-071"/>
    <x v="685"/>
    <s v="38536-98293-JZ"/>
    <s v="A-D-0.2"/>
    <x v="16"/>
    <n v="3"/>
    <x v="909"/>
    <s v=""/>
    <x v="1"/>
    <s v="Watergrasshill"/>
    <s v="Ara"/>
    <s v="D"/>
    <x v="3"/>
    <n v="2.9849999999999999"/>
    <n v="8.9550000000000001"/>
    <n v="0.26865"/>
    <n v="0.80594999999999994"/>
    <x v="2"/>
    <x v="2"/>
    <x v="1"/>
  </r>
  <r>
    <s v="RLM-96511-467"/>
    <x v="191"/>
    <s v="43014-53743-XK"/>
    <s v="R-L-2.5"/>
    <x v="4"/>
    <n v="1"/>
    <x v="910"/>
    <s v="jtewelsonrn@samsung.com"/>
    <x v="0"/>
    <s v="Dallas"/>
    <s v="Rob"/>
    <s v="L"/>
    <x v="2"/>
    <n v="27.484999999999996"/>
    <n v="27.484999999999996"/>
    <n v="1.6490999999999998"/>
    <n v="1.6490999999999998"/>
    <x v="0"/>
    <x v="1"/>
    <x v="1"/>
  </r>
  <r>
    <s v="AEZ-13242-456"/>
    <x v="686"/>
    <s v="62494-09113-RP"/>
    <s v="R-M-0.5"/>
    <x v="8"/>
    <n v="5"/>
    <x v="906"/>
    <s v=""/>
    <x v="0"/>
    <s v="Fort Smith"/>
    <s v="Rob"/>
    <s v="M"/>
    <x v="1"/>
    <n v="5.97"/>
    <n v="29.849999999999998"/>
    <n v="0.35819999999999996"/>
    <n v="1.7909999999999999"/>
    <x v="0"/>
    <x v="0"/>
    <x v="1"/>
  </r>
  <r>
    <s v="UME-75640-698"/>
    <x v="687"/>
    <s v="62494-09113-RP"/>
    <s v="A-M-0.5"/>
    <x v="19"/>
    <n v="4"/>
    <x v="906"/>
    <s v=""/>
    <x v="0"/>
    <s v="Fort Smith"/>
    <s v="Ara"/>
    <s v="M"/>
    <x v="1"/>
    <n v="6.75"/>
    <n v="27"/>
    <n v="0.60749999999999993"/>
    <n v="2.4299999999999997"/>
    <x v="2"/>
    <x v="0"/>
    <x v="1"/>
  </r>
  <r>
    <s v="GJC-66474-557"/>
    <x v="629"/>
    <s v="64965-78386-MY"/>
    <s v="A-D-1"/>
    <x v="9"/>
    <n v="1"/>
    <x v="911"/>
    <s v="njennyrq@bigcartel.com"/>
    <x v="0"/>
    <s v="Whittier"/>
    <s v="Ara"/>
    <s v="D"/>
    <x v="0"/>
    <n v="9.9499999999999993"/>
    <n v="9.9499999999999993"/>
    <n v="0.89549999999999985"/>
    <n v="0.89549999999999985"/>
    <x v="2"/>
    <x v="2"/>
    <x v="1"/>
  </r>
  <r>
    <s v="IRV-20769-219"/>
    <x v="688"/>
    <s v="77131-58092-GE"/>
    <s v="E-M-0.2"/>
    <x v="18"/>
    <n v="3"/>
    <x v="912"/>
    <s v=""/>
    <x v="2"/>
    <s v="London"/>
    <s v="Exc"/>
    <s v="M"/>
    <x v="3"/>
    <n v="4.125"/>
    <n v="12.375"/>
    <n v="0.45374999999999999"/>
    <n v="1.3612500000000001"/>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51999C-8355-4766-A9D9-628F7C7960C3}" name="TotalSales"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22">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numFmtId="44" outline="0" showAll="0" defaultSubtotal="0">
      <items count="4">
        <item x="3"/>
        <item x="1"/>
        <item x="0"/>
        <item x="2"/>
      </items>
    </pivotField>
    <pivotField compact="0" numFmtId="44" outline="0" showAll="0" defaultSubtotal="0"/>
    <pivotField dataField="1" compact="0" outline="0" showAll="0" defaultSubtotal="0"/>
    <pivotField compact="0" numFmtId="44" outline="0" subtotalTop="0" showAll="0" defaultSubtotal="0"/>
    <pivotField compact="0" numFmtId="44" outline="0" subtotalTop="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ubtotalTop="0" showAll="0" defaultSubtotal="0">
      <items count="14">
        <item x="0"/>
        <item x="1"/>
        <item x="2"/>
        <item x="3"/>
        <item x="4"/>
        <item x="5"/>
        <item x="6"/>
        <item x="7"/>
        <item x="8"/>
        <item x="9"/>
        <item x="10"/>
        <item x="11"/>
        <item x="12"/>
        <item x="13"/>
      </items>
    </pivotField>
    <pivotField axis="axisRow" compact="0" outline="0" subtotalTop="0" showAll="0" defaultSubtotal="0">
      <items count="6">
        <item x="0"/>
        <item x="1"/>
        <item x="2"/>
        <item x="3"/>
        <item x="4"/>
        <item x="5"/>
      </items>
    </pivotField>
  </pivotFields>
  <rowFields count="2">
    <field x="21"/>
    <field x="20"/>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7"/>
  </colFields>
  <colItems count="4">
    <i>
      <x/>
    </i>
    <i>
      <x v="1"/>
    </i>
    <i>
      <x v="2"/>
    </i>
    <i>
      <x v="3"/>
    </i>
  </colItems>
  <dataFields count="1">
    <dataField name="Sum of Sales" fld="14" baseField="15" baseItem="1" numFmtId="3"/>
  </dataFields>
  <chartFormats count="8">
    <chartFormat chart="1" format="0" series="1">
      <pivotArea type="data" outline="0" fieldPosition="0">
        <references count="2">
          <reference field="4294967294" count="1" selected="0">
            <x v="0"/>
          </reference>
          <reference field="17" count="1" selected="0">
            <x v="0"/>
          </reference>
        </references>
      </pivotArea>
    </chartFormat>
    <chartFormat chart="1" format="1" series="1">
      <pivotArea type="data" outline="0" fieldPosition="0">
        <references count="2">
          <reference field="4294967294" count="1" selected="0">
            <x v="0"/>
          </reference>
          <reference field="17" count="1" selected="0">
            <x v="1"/>
          </reference>
        </references>
      </pivotArea>
    </chartFormat>
    <chartFormat chart="1" format="2" series="1">
      <pivotArea type="data" outline="0" fieldPosition="0">
        <references count="2">
          <reference field="4294967294" count="1" selected="0">
            <x v="0"/>
          </reference>
          <reference field="17" count="1" selected="0">
            <x v="2"/>
          </reference>
        </references>
      </pivotArea>
    </chartFormat>
    <chartFormat chart="1" format="3" series="1">
      <pivotArea type="data" outline="0" fieldPosition="0">
        <references count="2">
          <reference field="4294967294" count="1" selected="0">
            <x v="0"/>
          </reference>
          <reference field="17" count="1" selected="0">
            <x v="3"/>
          </reference>
        </references>
      </pivotArea>
    </chartFormat>
    <chartFormat chart="5" format="8" series="1">
      <pivotArea type="data" outline="0" fieldPosition="0">
        <references count="2">
          <reference field="4294967294" count="1" selected="0">
            <x v="0"/>
          </reference>
          <reference field="17" count="1" selected="0">
            <x v="0"/>
          </reference>
        </references>
      </pivotArea>
    </chartFormat>
    <chartFormat chart="5" format="9" series="1">
      <pivotArea type="data" outline="0" fieldPosition="0">
        <references count="2">
          <reference field="4294967294" count="1" selected="0">
            <x v="0"/>
          </reference>
          <reference field="17" count="1" selected="0">
            <x v="1"/>
          </reference>
        </references>
      </pivotArea>
    </chartFormat>
    <chartFormat chart="5" format="10" series="1">
      <pivotArea type="data" outline="0" fieldPosition="0">
        <references count="2">
          <reference field="4294967294" count="1" selected="0">
            <x v="0"/>
          </reference>
          <reference field="17" count="1" selected="0">
            <x v="2"/>
          </reference>
        </references>
      </pivotArea>
    </chartFormat>
    <chartFormat chart="5" format="11" series="1">
      <pivotArea type="data" outline="0" fieldPosition="0">
        <references count="2">
          <reference field="4294967294" count="1" selected="0">
            <x v="0"/>
          </reference>
          <reference field="1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40824A-8D65-42B5-B582-DB568AB3F6D7}" name="TotalSales"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6" firstHeaderRow="1" firstDataRow="1" firstDataCol="1"/>
  <pivotFields count="22">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x="1"/>
        <item x="2"/>
        <item x="0"/>
        <item m="1" x="3"/>
      </items>
      <autoSortScope>
        <pivotArea dataOnly="0" outline="0" fieldPosition="0">
          <references count="1">
            <reference field="4294967294" count="1" selected="0">
              <x v="0"/>
            </reference>
          </references>
        </pivotArea>
      </autoSortScope>
    </pivotField>
    <pivotField compact="0" outline="0" subtotalTop="0" showAll="0" defaultSubtotal="0"/>
    <pivotField compact="0" outline="0" showAll="0" defaultSubtotal="0"/>
    <pivotField compact="0" outline="0" showAll="0" defaultSubtotal="0"/>
    <pivotField compact="0" numFmtId="44" outline="0" showAll="0" defaultSubtotal="0">
      <items count="4">
        <item x="3"/>
        <item x="1"/>
        <item x="0"/>
        <item x="2"/>
      </items>
    </pivotField>
    <pivotField compact="0" numFmtId="44" outline="0" showAll="0" defaultSubtotal="0"/>
    <pivotField dataField="1" compact="0" outline="0" showAll="0" defaultSubtotal="0"/>
    <pivotField compact="0" numFmtId="44" outline="0" subtotalTop="0" showAll="0" defaultSubtotal="0"/>
    <pivotField compact="0" numFmtId="44" outline="0" subtotalTop="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8"/>
  </rowFields>
  <rowItems count="3">
    <i>
      <x v="1"/>
    </i>
    <i>
      <x/>
    </i>
    <i>
      <x v="2"/>
    </i>
  </rowItems>
  <colItems count="1">
    <i/>
  </colItems>
  <dataFields count="1">
    <dataField name="Sum of Sales" fld="14" baseField="7" baseItem="0" numFmtId="166"/>
  </dataFields>
  <chartFormats count="3">
    <chartFormat chart="5"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F1B0FD-BED4-4A66-9085-C02A7167A745}" name="TotalSales" cacheId="8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22">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ubtotalTop="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ubtotalTop="0" showAll="0" defaultSubtotal="0"/>
    <pivotField compact="0" outline="0" showAll="0" defaultSubtotal="0"/>
    <pivotField compact="0" outline="0" showAll="0" defaultSubtotal="0"/>
    <pivotField compact="0" numFmtId="44" outline="0" showAll="0" defaultSubtotal="0">
      <items count="4">
        <item x="3"/>
        <item x="1"/>
        <item x="0"/>
        <item x="2"/>
      </items>
    </pivotField>
    <pivotField compact="0" numFmtId="44" outline="0" showAll="0" defaultSubtotal="0"/>
    <pivotField dataField="1" compact="0" outline="0" showAll="0" defaultSubtotal="0"/>
    <pivotField compact="0" numFmtId="44" outline="0" subtotalTop="0" showAll="0" defaultSubtotal="0"/>
    <pivotField compact="0" numFmtId="44" outline="0" subtotalTop="0" showAll="0" defaultSubtotal="0"/>
    <pivotField compact="0" outline="0" showAll="0" defaultSubtotal="0"/>
    <pivotField compact="0" outline="0" showAll="0" defaultSubtotal="0"/>
    <pivotField compact="0" outline="0" subtotalTop="0" showAll="0" defaultSubtotal="0">
      <items count="2">
        <item x="1"/>
        <item x="0"/>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s>
  <rowFields count="1">
    <field x="6"/>
  </rowFields>
  <rowItems count="5">
    <i>
      <x v="255"/>
    </i>
    <i>
      <x v="646"/>
    </i>
    <i>
      <x v="831"/>
    </i>
    <i>
      <x v="125"/>
    </i>
    <i>
      <x v="28"/>
    </i>
  </rowItems>
  <colItems count="1">
    <i/>
  </colItems>
  <dataFields count="1">
    <dataField name="Sum of Sales" fld="14" baseField="7" baseItem="0" numFmtId="166"/>
  </dataFields>
  <chartFormats count="4">
    <chartFormat chart="4" format="9"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9"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6"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2D617A-8A67-4C85-A581-A6664760E7F6}" name="PivotTable2" cacheId="8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2">
  <location ref="A3:F53" firstHeaderRow="1" firstDataRow="2"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showAll="0"/>
    <pivotField numFmtId="44" showAll="0"/>
    <pivotField numFmtId="44" showAll="0"/>
    <pivotField dataField="1" showAll="0"/>
    <pivotField numFmtId="44" showAll="0"/>
    <pivotField numFmtId="44" showAll="0"/>
    <pivotField axis="axisCol" showAll="0">
      <items count="5">
        <item x="2"/>
        <item x="1"/>
        <item x="3"/>
        <item x="0"/>
        <item t="default"/>
      </items>
    </pivotField>
    <pivotField showAll="0">
      <items count="4">
        <item x="2"/>
        <item x="1"/>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21"/>
    <field x="20"/>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7"/>
  </colFields>
  <colItems count="5">
    <i>
      <x/>
    </i>
    <i>
      <x v="1"/>
    </i>
    <i>
      <x v="2"/>
    </i>
    <i>
      <x v="3"/>
    </i>
    <i t="grand">
      <x/>
    </i>
  </colItems>
  <dataFields count="1">
    <dataField name="Sum of Sales" fld="14" baseField="17" baseItem="1" numFmtId="167"/>
  </dataFields>
  <chartFormats count="8">
    <chartFormat chart="27" format="0" series="1">
      <pivotArea type="data" outline="0" fieldPosition="0">
        <references count="2">
          <reference field="4294967294" count="1" selected="0">
            <x v="0"/>
          </reference>
          <reference field="17" count="1" selected="0">
            <x v="0"/>
          </reference>
        </references>
      </pivotArea>
    </chartFormat>
    <chartFormat chart="27" format="1" series="1">
      <pivotArea type="data" outline="0" fieldPosition="0">
        <references count="2">
          <reference field="4294967294" count="1" selected="0">
            <x v="0"/>
          </reference>
          <reference field="17" count="1" selected="0">
            <x v="1"/>
          </reference>
        </references>
      </pivotArea>
    </chartFormat>
    <chartFormat chart="27" format="2" series="1">
      <pivotArea type="data" outline="0" fieldPosition="0">
        <references count="2">
          <reference field="4294967294" count="1" selected="0">
            <x v="0"/>
          </reference>
          <reference field="17" count="1" selected="0">
            <x v="2"/>
          </reference>
        </references>
      </pivotArea>
    </chartFormat>
    <chartFormat chart="27" format="3" series="1">
      <pivotArea type="data" outline="0" fieldPosition="0">
        <references count="2">
          <reference field="4294967294" count="1" selected="0">
            <x v="0"/>
          </reference>
          <reference field="17" count="1" selected="0">
            <x v="3"/>
          </reference>
        </references>
      </pivotArea>
    </chartFormat>
    <chartFormat chart="31" format="8" series="1">
      <pivotArea type="data" outline="0" fieldPosition="0">
        <references count="2">
          <reference field="4294967294" count="1" selected="0">
            <x v="0"/>
          </reference>
          <reference field="17" count="1" selected="0">
            <x v="0"/>
          </reference>
        </references>
      </pivotArea>
    </chartFormat>
    <chartFormat chart="31" format="9" series="1">
      <pivotArea type="data" outline="0" fieldPosition="0">
        <references count="2">
          <reference field="4294967294" count="1" selected="0">
            <x v="0"/>
          </reference>
          <reference field="17" count="1" selected="0">
            <x v="1"/>
          </reference>
        </references>
      </pivotArea>
    </chartFormat>
    <chartFormat chart="31" format="10" series="1">
      <pivotArea type="data" outline="0" fieldPosition="0">
        <references count="2">
          <reference field="4294967294" count="1" selected="0">
            <x v="0"/>
          </reference>
          <reference field="17" count="1" selected="0">
            <x v="2"/>
          </reference>
        </references>
      </pivotArea>
    </chartFormat>
    <chartFormat chart="31" format="11" series="1">
      <pivotArea type="data" outline="0" fieldPosition="0">
        <references count="2">
          <reference field="4294967294" count="1" selected="0">
            <x v="0"/>
          </reference>
          <reference field="1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254D283-E904-432A-A068-77438E8950D0}"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1">
  <location ref="A3:B8" firstHeaderRow="1" firstDataRow="1"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showAll="0"/>
    <pivotField numFmtId="44" showAll="0"/>
    <pivotField numFmtId="44" showAll="0"/>
    <pivotField dataField="1" showAll="0"/>
    <pivotField numFmtId="44" showAll="0"/>
    <pivotField numFmtId="44" showAll="0"/>
    <pivotField axis="axisRow"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7"/>
  </rowFields>
  <rowItems count="5">
    <i>
      <x v="3"/>
    </i>
    <i>
      <x/>
    </i>
    <i>
      <x v="2"/>
    </i>
    <i>
      <x v="1"/>
    </i>
    <i t="grand">
      <x/>
    </i>
  </rowItems>
  <colItems count="1">
    <i/>
  </colItems>
  <dataFields count="1">
    <dataField name="Sum of Sales" fld="14" baseField="0" baseItem="0" numFmtId="167"/>
  </dataFields>
  <chartFormats count="2">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8D8F69-A10F-42E1-BA48-E62B17ED2E59}"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4">
  <location ref="A3:B7" firstHeaderRow="1" firstDataRow="1"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axis="axisRow" showAll="0" sortType="ascending">
      <items count="5">
        <item x="1"/>
        <item x="2"/>
        <item x="0"/>
        <item m="1" x="3"/>
        <item t="default"/>
      </items>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8"/>
  </rowFields>
  <rowItems count="4">
    <i>
      <x v="1"/>
    </i>
    <i>
      <x/>
    </i>
    <i>
      <x v="2"/>
    </i>
    <i t="grand">
      <x/>
    </i>
  </rowItems>
  <colItems count="1">
    <i/>
  </colItems>
  <dataFields count="1">
    <dataField name="Sum of Sales" fld="14" baseField="0" baseItem="0" numFmtId="167"/>
  </dataFields>
  <chartFormats count="4">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AB4C714-81EE-4BC7-B228-C67467917F23}"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0">
  <location ref="A3:B6" firstHeaderRow="1" firstDataRow="1"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axis="axisRow"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9"/>
  </rowFields>
  <rowItems count="3">
    <i>
      <x/>
    </i>
    <i>
      <x v="1"/>
    </i>
    <i t="grand">
      <x/>
    </i>
  </rowItems>
  <colItems count="1">
    <i/>
  </colItems>
  <dataFields count="1">
    <dataField name="Sum of Sales" fld="14" baseField="0" baseItem="0" numFmtId="167"/>
  </dataFields>
  <chartFormats count="5">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9"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EB130E-BCB6-4CDF-AB79-6D0B55B3B9BE}"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6">
  <location ref="A3:B9" firstHeaderRow="1" firstDataRow="1"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axis="axisRow" showAll="0" measureFilter="1" sortType="ascending">
      <items count="49">
        <item x="16"/>
        <item x="20"/>
        <item x="9"/>
        <item x="30"/>
        <item x="29"/>
        <item x="42"/>
        <item x="2"/>
        <item x="44"/>
        <item x="14"/>
        <item x="19"/>
        <item x="17"/>
        <item x="37"/>
        <item x="15"/>
        <item x="6"/>
        <item x="45"/>
        <item x="47"/>
        <item x="46"/>
        <item x="38"/>
        <item x="33"/>
        <item x="10"/>
        <item x="18"/>
        <item x="1"/>
        <item x="3"/>
        <item x="28"/>
        <item x="12"/>
        <item x="31"/>
        <item x="5"/>
        <item x="27"/>
        <item x="7"/>
        <item x="23"/>
        <item x="32"/>
        <item x="26"/>
        <item x="21"/>
        <item x="22"/>
        <item x="24"/>
        <item x="43"/>
        <item x="25"/>
        <item x="34"/>
        <item x="39"/>
        <item x="11"/>
        <item x="40"/>
        <item x="35"/>
        <item x="41"/>
        <item x="4"/>
        <item x="36"/>
        <item x="8"/>
        <item x="0"/>
        <item x="1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4"/>
  </rowFields>
  <rowItems count="6">
    <i>
      <x v="31"/>
    </i>
    <i>
      <x v="27"/>
    </i>
    <i>
      <x v="19"/>
    </i>
    <i>
      <x v="11"/>
    </i>
    <i>
      <x v="7"/>
    </i>
    <i t="grand">
      <x/>
    </i>
  </rowItems>
  <colItems count="1">
    <i/>
  </colItems>
  <dataFields count="1">
    <dataField name="Sum of Sales" fld="14" baseField="0" baseItem="0" numFmtId="167"/>
  </dataFields>
  <chartFormats count="6">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 chart="5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2F01857-75EE-4005-B3F2-DA42E04DD791}"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2">
  <location ref="A3:C53" firstHeaderRow="1" firstDataRow="2"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axis="axisCol"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21"/>
    <field x="20"/>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7"/>
  </colFields>
  <colItems count="2">
    <i>
      <x/>
    </i>
    <i t="grand">
      <x/>
    </i>
  </colItems>
  <dataFields count="1">
    <dataField name="Sum of Sales" fld="14" baseField="0" baseItem="0" numFmtId="167"/>
  </dataFields>
  <chartFormats count="14">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 chart="52" format="4" series="1">
      <pivotArea type="data" outline="0" fieldPosition="0">
        <references count="1">
          <reference field="4294967294" count="1" selected="0">
            <x v="0"/>
          </reference>
        </references>
      </pivotArea>
    </chartFormat>
    <chartFormat chart="52" format="5" series="1">
      <pivotArea type="data" outline="0" fieldPosition="0">
        <references count="2">
          <reference field="4294967294" count="1" selected="0">
            <x v="0"/>
          </reference>
          <reference field="17" count="1" selected="0">
            <x v="0"/>
          </reference>
        </references>
      </pivotArea>
    </chartFormat>
    <chartFormat chart="52" format="6" series="1">
      <pivotArea type="data" outline="0" fieldPosition="0">
        <references count="2">
          <reference field="4294967294" count="1" selected="0">
            <x v="0"/>
          </reference>
          <reference field="17" count="1" selected="0">
            <x v="2"/>
          </reference>
        </references>
      </pivotArea>
    </chartFormat>
    <chartFormat chart="52" format="7" series="1">
      <pivotArea type="data" outline="0" fieldPosition="0">
        <references count="2">
          <reference field="4294967294" count="1" selected="0">
            <x v="0"/>
          </reference>
          <reference field="17" count="1" selected="0">
            <x v="1"/>
          </reference>
        </references>
      </pivotArea>
    </chartFormat>
    <chartFormat chart="52" format="8" series="1">
      <pivotArea type="data" outline="0" fieldPosition="0">
        <references count="2">
          <reference field="4294967294" count="1" selected="0">
            <x v="0"/>
          </reference>
          <reference field="17" count="1" selected="0">
            <x v="3"/>
          </reference>
        </references>
      </pivotArea>
    </chartFormat>
    <chartFormat chart="59" format="10" series="1">
      <pivotArea type="data" outline="0" fieldPosition="0">
        <references count="2">
          <reference field="4294967294" count="1" selected="0">
            <x v="0"/>
          </reference>
          <reference field="17" count="1" selected="0">
            <x v="0"/>
          </reference>
        </references>
      </pivotArea>
    </chartFormat>
    <chartFormat chart="59" format="11" series="1">
      <pivotArea type="data" outline="0" fieldPosition="0">
        <references count="2">
          <reference field="4294967294" count="1" selected="0">
            <x v="0"/>
          </reference>
          <reference field="17" count="1" selected="0">
            <x v="1"/>
          </reference>
        </references>
      </pivotArea>
    </chartFormat>
    <chartFormat chart="59" format="12" series="1">
      <pivotArea type="data" outline="0" fieldPosition="0">
        <references count="2">
          <reference field="4294967294" count="1" selected="0">
            <x v="0"/>
          </reference>
          <reference field="17" count="1" selected="0">
            <x v="2"/>
          </reference>
        </references>
      </pivotArea>
    </chartFormat>
    <chartFormat chart="59" format="13" series="1">
      <pivotArea type="data" outline="0" fieldPosition="0">
        <references count="2">
          <reference field="4294967294" count="1" selected="0">
            <x v="0"/>
          </reference>
          <reference field="17" count="1" selected="0">
            <x v="3"/>
          </reference>
        </references>
      </pivotArea>
    </chartFormat>
  </chartFormats>
  <pivotTableStyleInfo name="PivotStyleMedium9" showRowHeaders="1" showColHeaders="1" showRowStripes="0" showColStripes="0" showLastColumn="1"/>
  <filters count="2">
    <filter fld="17" type="captionEqual" evalOrder="-1" id="4" stringValue1="Arabica">
      <autoFilter ref="A1">
        <filterColumn colId="0">
          <filters>
            <filter val="Arabica"/>
          </filters>
        </filterColumn>
      </autoFilter>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1150C9-C80A-41B6-87A9-DE673B286365}"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A3:C53" firstHeaderRow="1" firstDataRow="2"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axis="axisCol"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21"/>
    <field x="20"/>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7"/>
  </colFields>
  <colItems count="2">
    <i>
      <x v="3"/>
    </i>
    <i t="grand">
      <x/>
    </i>
  </colItems>
  <dataFields count="1">
    <dataField name="Sum of Sales" fld="14" baseField="0" baseItem="0" numFmtId="167"/>
  </dataFields>
  <chartFormats count="18">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 chart="52" format="4" series="1">
      <pivotArea type="data" outline="0" fieldPosition="0">
        <references count="1">
          <reference field="4294967294" count="1" selected="0">
            <x v="0"/>
          </reference>
        </references>
      </pivotArea>
    </chartFormat>
    <chartFormat chart="52" format="5" series="1">
      <pivotArea type="data" outline="0" fieldPosition="0">
        <references count="2">
          <reference field="4294967294" count="1" selected="0">
            <x v="0"/>
          </reference>
          <reference field="17" count="1" selected="0">
            <x v="0"/>
          </reference>
        </references>
      </pivotArea>
    </chartFormat>
    <chartFormat chart="52" format="6" series="1">
      <pivotArea type="data" outline="0" fieldPosition="0">
        <references count="2">
          <reference field="4294967294" count="1" selected="0">
            <x v="0"/>
          </reference>
          <reference field="17" count="1" selected="0">
            <x v="2"/>
          </reference>
        </references>
      </pivotArea>
    </chartFormat>
    <chartFormat chart="52" format="7" series="1">
      <pivotArea type="data" outline="0" fieldPosition="0">
        <references count="2">
          <reference field="4294967294" count="1" selected="0">
            <x v="0"/>
          </reference>
          <reference field="17" count="1" selected="0">
            <x v="1"/>
          </reference>
        </references>
      </pivotArea>
    </chartFormat>
    <chartFormat chart="52" format="8" series="1">
      <pivotArea type="data" outline="0" fieldPosition="0">
        <references count="2">
          <reference field="4294967294" count="1" selected="0">
            <x v="0"/>
          </reference>
          <reference field="17" count="1" selected="0">
            <x v="3"/>
          </reference>
        </references>
      </pivotArea>
    </chartFormat>
    <chartFormat chart="56" format="9" series="1">
      <pivotArea type="data" outline="0" fieldPosition="0">
        <references count="2">
          <reference field="4294967294" count="1" selected="0">
            <x v="0"/>
          </reference>
          <reference field="17" count="1" selected="0">
            <x v="3"/>
          </reference>
        </references>
      </pivotArea>
    </chartFormat>
    <chartFormat chart="56" format="10" series="1">
      <pivotArea type="data" outline="0" fieldPosition="0">
        <references count="2">
          <reference field="4294967294" count="1" selected="0">
            <x v="0"/>
          </reference>
          <reference field="17" count="1" selected="0">
            <x v="0"/>
          </reference>
        </references>
      </pivotArea>
    </chartFormat>
    <chartFormat chart="56" format="11" series="1">
      <pivotArea type="data" outline="0" fieldPosition="0">
        <references count="2">
          <reference field="4294967294" count="1" selected="0">
            <x v="0"/>
          </reference>
          <reference field="17" count="1" selected="0">
            <x v="2"/>
          </reference>
        </references>
      </pivotArea>
    </chartFormat>
    <chartFormat chart="56" format="12" series="1">
      <pivotArea type="data" outline="0" fieldPosition="0">
        <references count="2">
          <reference field="4294967294" count="1" selected="0">
            <x v="0"/>
          </reference>
          <reference field="17" count="1" selected="0">
            <x v="1"/>
          </reference>
        </references>
      </pivotArea>
    </chartFormat>
    <chartFormat chart="58" format="14" series="1">
      <pivotArea type="data" outline="0" fieldPosition="0">
        <references count="2">
          <reference field="4294967294" count="1" selected="0">
            <x v="0"/>
          </reference>
          <reference field="17" count="1" selected="0">
            <x v="3"/>
          </reference>
        </references>
      </pivotArea>
    </chartFormat>
    <chartFormat chart="58" format="15" series="1">
      <pivotArea type="data" outline="0" fieldPosition="0">
        <references count="2">
          <reference field="4294967294" count="1" selected="0">
            <x v="0"/>
          </reference>
          <reference field="17" count="1" selected="0">
            <x v="0"/>
          </reference>
        </references>
      </pivotArea>
    </chartFormat>
    <chartFormat chart="58" format="16" series="1">
      <pivotArea type="data" outline="0" fieldPosition="0">
        <references count="2">
          <reference field="4294967294" count="1" selected="0">
            <x v="0"/>
          </reference>
          <reference field="17" count="1" selected="0">
            <x v="1"/>
          </reference>
        </references>
      </pivotArea>
    </chartFormat>
    <chartFormat chart="58" format="17" series="1">
      <pivotArea type="data" outline="0" fieldPosition="0">
        <references count="2">
          <reference field="4294967294" count="1" selected="0">
            <x v="0"/>
          </reference>
          <reference field="17" count="1" selected="0">
            <x v="2"/>
          </reference>
        </references>
      </pivotArea>
    </chartFormat>
  </chartFormats>
  <pivotTableStyleInfo name="PivotStyleMedium9" showRowHeaders="1" showColHeaders="1" showRowStripes="0" showColStripes="0" showLastColumn="1"/>
  <filters count="2">
    <filter fld="17" type="captionEqual" evalOrder="-1" id="4" stringValue1="Robusta">
      <autoFilter ref="A1">
        <filterColumn colId="0">
          <filters>
            <filter val="Robusta"/>
          </filters>
        </filterColumn>
      </autoFilter>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05FAA68-9BCA-4A44-A209-408A521CA9B8}"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0">
  <location ref="A3:C53" firstHeaderRow="1" firstDataRow="2"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axis="axisCol"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21"/>
    <field x="20"/>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7"/>
  </colFields>
  <colItems count="2">
    <i>
      <x v="2"/>
    </i>
    <i t="grand">
      <x/>
    </i>
  </colItems>
  <dataFields count="1">
    <dataField name="Sum of Sales" fld="14" baseField="0" baseItem="0" numFmtId="167"/>
  </dataFields>
  <chartFormats count="24">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 chart="52" format="4" series="1">
      <pivotArea type="data" outline="0" fieldPosition="0">
        <references count="1">
          <reference field="4294967294" count="1" selected="0">
            <x v="0"/>
          </reference>
        </references>
      </pivotArea>
    </chartFormat>
    <chartFormat chart="52" format="5" series="1">
      <pivotArea type="data" outline="0" fieldPosition="0">
        <references count="2">
          <reference field="4294967294" count="1" selected="0">
            <x v="0"/>
          </reference>
          <reference field="17" count="1" selected="0">
            <x v="0"/>
          </reference>
        </references>
      </pivotArea>
    </chartFormat>
    <chartFormat chart="52" format="6" series="1">
      <pivotArea type="data" outline="0" fieldPosition="0">
        <references count="2">
          <reference field="4294967294" count="1" selected="0">
            <x v="0"/>
          </reference>
          <reference field="17" count="1" selected="0">
            <x v="2"/>
          </reference>
        </references>
      </pivotArea>
    </chartFormat>
    <chartFormat chart="52" format="7" series="1">
      <pivotArea type="data" outline="0" fieldPosition="0">
        <references count="2">
          <reference field="4294967294" count="1" selected="0">
            <x v="0"/>
          </reference>
          <reference field="17" count="1" selected="0">
            <x v="1"/>
          </reference>
        </references>
      </pivotArea>
    </chartFormat>
    <chartFormat chart="52" format="8" series="1">
      <pivotArea type="data" outline="0" fieldPosition="0">
        <references count="2">
          <reference field="4294967294" count="1" selected="0">
            <x v="0"/>
          </reference>
          <reference field="17" count="1" selected="0">
            <x v="3"/>
          </reference>
        </references>
      </pivotArea>
    </chartFormat>
    <chartFormat chart="56" format="9" series="1">
      <pivotArea type="data" outline="0" fieldPosition="0">
        <references count="2">
          <reference field="4294967294" count="1" selected="0">
            <x v="0"/>
          </reference>
          <reference field="17" count="1" selected="0">
            <x v="3"/>
          </reference>
        </references>
      </pivotArea>
    </chartFormat>
    <chartFormat chart="56" format="10" series="1">
      <pivotArea type="data" outline="0" fieldPosition="0">
        <references count="2">
          <reference field="4294967294" count="1" selected="0">
            <x v="0"/>
          </reference>
          <reference field="17" count="1" selected="0">
            <x v="0"/>
          </reference>
        </references>
      </pivotArea>
    </chartFormat>
    <chartFormat chart="56" format="11" series="1">
      <pivotArea type="data" outline="0" fieldPosition="0">
        <references count="2">
          <reference field="4294967294" count="1" selected="0">
            <x v="0"/>
          </reference>
          <reference field="17" count="1" selected="0">
            <x v="2"/>
          </reference>
        </references>
      </pivotArea>
    </chartFormat>
    <chartFormat chart="56" format="12" series="1">
      <pivotArea type="data" outline="0" fieldPosition="0">
        <references count="2">
          <reference field="4294967294" count="1" selected="0">
            <x v="0"/>
          </reference>
          <reference field="17" count="1" selected="0">
            <x v="1"/>
          </reference>
        </references>
      </pivotArea>
    </chartFormat>
    <chartFormat chart="57" format="13" series="1">
      <pivotArea type="data" outline="0" fieldPosition="0">
        <references count="2">
          <reference field="4294967294" count="1" selected="0">
            <x v="0"/>
          </reference>
          <reference field="17" count="1" selected="0">
            <x v="3"/>
          </reference>
        </references>
      </pivotArea>
    </chartFormat>
    <chartFormat chart="57" format="14" series="1">
      <pivotArea type="data" outline="0" fieldPosition="0">
        <references count="2">
          <reference field="4294967294" count="1" selected="0">
            <x v="0"/>
          </reference>
          <reference field="17" count="1" selected="0">
            <x v="0"/>
          </reference>
        </references>
      </pivotArea>
    </chartFormat>
    <chartFormat chart="57" format="15" series="1">
      <pivotArea type="data" outline="0" fieldPosition="0">
        <references count="2">
          <reference field="4294967294" count="1" selected="0">
            <x v="0"/>
          </reference>
          <reference field="17" count="1" selected="0">
            <x v="2"/>
          </reference>
        </references>
      </pivotArea>
    </chartFormat>
    <chartFormat chart="57" format="16" series="1">
      <pivotArea type="data" outline="0" fieldPosition="0">
        <references count="2">
          <reference field="4294967294" count="1" selected="0">
            <x v="0"/>
          </reference>
          <reference field="17" count="1" selected="0">
            <x v="1"/>
          </reference>
        </references>
      </pivotArea>
    </chartFormat>
    <chartFormat chart="59" format="18" series="1">
      <pivotArea type="data" outline="0" fieldPosition="0">
        <references count="2">
          <reference field="4294967294" count="1" selected="0">
            <x v="0"/>
          </reference>
          <reference field="17" count="1" selected="0">
            <x v="2"/>
          </reference>
        </references>
      </pivotArea>
    </chartFormat>
    <chartFormat chart="59" format="19" series="1">
      <pivotArea type="data" outline="0" fieldPosition="0">
        <references count="2">
          <reference field="4294967294" count="1" selected="0">
            <x v="0"/>
          </reference>
          <reference field="17" count="1" selected="0">
            <x v="0"/>
          </reference>
        </references>
      </pivotArea>
    </chartFormat>
    <chartFormat chart="59" format="20" series="1">
      <pivotArea type="data" outline="0" fieldPosition="0">
        <references count="2">
          <reference field="4294967294" count="1" selected="0">
            <x v="0"/>
          </reference>
          <reference field="17" count="1" selected="0">
            <x v="1"/>
          </reference>
        </references>
      </pivotArea>
    </chartFormat>
    <chartFormat chart="59" format="21" series="1">
      <pivotArea type="data" outline="0" fieldPosition="0">
        <references count="2">
          <reference field="4294967294" count="1" selected="0">
            <x v="0"/>
          </reference>
          <reference field="17" count="1" selected="0">
            <x v="3"/>
          </reference>
        </references>
      </pivotArea>
    </chartFormat>
    <chartFormat chart="59" format="22" series="1">
      <pivotArea type="data" outline="0" fieldPosition="0">
        <references count="1">
          <reference field="4294967294" count="1" selected="0">
            <x v="0"/>
          </reference>
        </references>
      </pivotArea>
    </chartFormat>
    <chartFormat chart="57" format="17"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7" type="captionEqual" evalOrder="-1" id="4" stringValue1="Liberica">
      <autoFilter ref="A1">
        <filterColumn colId="0">
          <filters>
            <filter val="Liberica"/>
          </filters>
        </filterColumn>
      </autoFilter>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2F08F19-6E94-43A7-A270-2998DAD02C8F}" name="PivotTable2" cacheId="8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3">
  <location ref="A3:C53" firstHeaderRow="1" firstDataRow="2"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measureFilter="1" sortType="ascending">
      <autoSortScope>
        <pivotArea dataOnly="0" outline="0" fieldPosition="0">
          <references count="1">
            <reference field="4294967294" count="1" selected="0">
              <x v="0"/>
            </reference>
          </references>
        </pivotArea>
      </autoSortScope>
    </pivotField>
    <pivotField showAll="0"/>
    <pivotField showAll="0"/>
    <pivotField showAll="0"/>
    <pivotField showAll="0" sortType="ascending">
      <autoSortScope>
        <pivotArea dataOnly="0" outline="0" fieldPosition="0">
          <references count="1">
            <reference field="4294967294" count="1" selected="0">
              <x v="0"/>
            </reference>
          </references>
        </pivotArea>
      </autoSortScope>
    </pivotField>
    <pivotField showAll="0"/>
    <pivotField showAll="0"/>
    <pivotField showAll="0"/>
    <pivotField numFmtId="44" showAll="0"/>
    <pivotField numFmtId="44" showAll="0"/>
    <pivotField dataField="1" showAll="0"/>
    <pivotField numFmtId="44" showAll="0"/>
    <pivotField numFmtId="44" showAll="0"/>
    <pivotField axis="axisCol"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showAll="0">
      <items count="4">
        <item x="2"/>
        <item x="1"/>
        <item x="0"/>
        <item t="default"/>
      </items>
    </pivotField>
    <pivotField showAll="0"/>
    <pivotField axis="axisRow" showAll="0">
      <items count="15">
        <item x="0"/>
        <item x="1"/>
        <item x="2"/>
        <item x="3"/>
        <item x="4"/>
        <item x="5"/>
        <item x="6"/>
        <item x="7"/>
        <item x="8"/>
        <item x="9"/>
        <item x="10"/>
        <item x="11"/>
        <item x="12"/>
        <item x="13"/>
        <item t="default"/>
      </items>
    </pivotField>
    <pivotField axis="axisRow" showAll="0">
      <items count="7">
        <item x="0"/>
        <item x="1"/>
        <item x="2"/>
        <item x="3"/>
        <item x="4"/>
        <item x="5"/>
        <item t="default"/>
      </items>
    </pivotField>
  </pivotFields>
  <rowFields count="2">
    <field x="21"/>
    <field x="20"/>
  </rowFields>
  <rowItems count="4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t="grand">
      <x/>
    </i>
  </rowItems>
  <colFields count="1">
    <field x="17"/>
  </colFields>
  <colItems count="2">
    <i>
      <x v="1"/>
    </i>
    <i t="grand">
      <x/>
    </i>
  </colItems>
  <dataFields count="1">
    <dataField name="Sum of Sales" fld="14" baseField="0" baseItem="0" numFmtId="167"/>
  </dataFields>
  <chartFormats count="26">
    <chartFormat chart="37"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1" series="1">
      <pivotArea type="data" outline="0" fieldPosition="0">
        <references count="1">
          <reference field="4294967294" count="1" selected="0">
            <x v="0"/>
          </reference>
        </references>
      </pivotArea>
    </chartFormat>
    <chartFormat chart="42"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 chart="52" format="4" series="1">
      <pivotArea type="data" outline="0" fieldPosition="0">
        <references count="1">
          <reference field="4294967294" count="1" selected="0">
            <x v="0"/>
          </reference>
        </references>
      </pivotArea>
    </chartFormat>
    <chartFormat chart="52" format="5" series="1">
      <pivotArea type="data" outline="0" fieldPosition="0">
        <references count="2">
          <reference field="4294967294" count="1" selected="0">
            <x v="0"/>
          </reference>
          <reference field="17" count="1" selected="0">
            <x v="0"/>
          </reference>
        </references>
      </pivotArea>
    </chartFormat>
    <chartFormat chart="52" format="6" series="1">
      <pivotArea type="data" outline="0" fieldPosition="0">
        <references count="2">
          <reference field="4294967294" count="1" selected="0">
            <x v="0"/>
          </reference>
          <reference field="17" count="1" selected="0">
            <x v="2"/>
          </reference>
        </references>
      </pivotArea>
    </chartFormat>
    <chartFormat chart="52" format="7" series="1">
      <pivotArea type="data" outline="0" fieldPosition="0">
        <references count="2">
          <reference field="4294967294" count="1" selected="0">
            <x v="0"/>
          </reference>
          <reference field="17" count="1" selected="0">
            <x v="1"/>
          </reference>
        </references>
      </pivotArea>
    </chartFormat>
    <chartFormat chart="52" format="8" series="1">
      <pivotArea type="data" outline="0" fieldPosition="0">
        <references count="2">
          <reference field="4294967294" count="1" selected="0">
            <x v="0"/>
          </reference>
          <reference field="17" count="1" selected="0">
            <x v="3"/>
          </reference>
        </references>
      </pivotArea>
    </chartFormat>
    <chartFormat chart="56" format="9" series="1">
      <pivotArea type="data" outline="0" fieldPosition="0">
        <references count="2">
          <reference field="4294967294" count="1" selected="0">
            <x v="0"/>
          </reference>
          <reference field="17" count="1" selected="0">
            <x v="3"/>
          </reference>
        </references>
      </pivotArea>
    </chartFormat>
    <chartFormat chart="56" format="10" series="1">
      <pivotArea type="data" outline="0" fieldPosition="0">
        <references count="2">
          <reference field="4294967294" count="1" selected="0">
            <x v="0"/>
          </reference>
          <reference field="17" count="1" selected="0">
            <x v="0"/>
          </reference>
        </references>
      </pivotArea>
    </chartFormat>
    <chartFormat chart="56" format="11" series="1">
      <pivotArea type="data" outline="0" fieldPosition="0">
        <references count="2">
          <reference field="4294967294" count="1" selected="0">
            <x v="0"/>
          </reference>
          <reference field="17" count="1" selected="0">
            <x v="2"/>
          </reference>
        </references>
      </pivotArea>
    </chartFormat>
    <chartFormat chart="56" format="12" series="1">
      <pivotArea type="data" outline="0" fieldPosition="0">
        <references count="2">
          <reference field="4294967294" count="1" selected="0">
            <x v="0"/>
          </reference>
          <reference field="17" count="1" selected="0">
            <x v="1"/>
          </reference>
        </references>
      </pivotArea>
    </chartFormat>
    <chartFormat chart="57" format="13" series="1">
      <pivotArea type="data" outline="0" fieldPosition="0">
        <references count="2">
          <reference field="4294967294" count="1" selected="0">
            <x v="0"/>
          </reference>
          <reference field="17" count="1" selected="0">
            <x v="3"/>
          </reference>
        </references>
      </pivotArea>
    </chartFormat>
    <chartFormat chart="57" format="14" series="1">
      <pivotArea type="data" outline="0" fieldPosition="0">
        <references count="2">
          <reference field="4294967294" count="1" selected="0">
            <x v="0"/>
          </reference>
          <reference field="17" count="1" selected="0">
            <x v="0"/>
          </reference>
        </references>
      </pivotArea>
    </chartFormat>
    <chartFormat chart="57" format="15" series="1">
      <pivotArea type="data" outline="0" fieldPosition="0">
        <references count="2">
          <reference field="4294967294" count="1" selected="0">
            <x v="0"/>
          </reference>
          <reference field="17" count="1" selected="0">
            <x v="2"/>
          </reference>
        </references>
      </pivotArea>
    </chartFormat>
    <chartFormat chart="57" format="16" series="1">
      <pivotArea type="data" outline="0" fieldPosition="0">
        <references count="2">
          <reference field="4294967294" count="1" selected="0">
            <x v="0"/>
          </reference>
          <reference field="17" count="1" selected="0">
            <x v="1"/>
          </reference>
        </references>
      </pivotArea>
    </chartFormat>
    <chartFormat chart="58" format="17" series="1">
      <pivotArea type="data" outline="0" fieldPosition="0">
        <references count="2">
          <reference field="4294967294" count="1" selected="0">
            <x v="0"/>
          </reference>
          <reference field="17" count="1" selected="0">
            <x v="3"/>
          </reference>
        </references>
      </pivotArea>
    </chartFormat>
    <chartFormat chart="58" format="18" series="1">
      <pivotArea type="data" outline="0" fieldPosition="0">
        <references count="2">
          <reference field="4294967294" count="1" selected="0">
            <x v="0"/>
          </reference>
          <reference field="17" count="1" selected="0">
            <x v="0"/>
          </reference>
        </references>
      </pivotArea>
    </chartFormat>
    <chartFormat chart="58" format="19" series="1">
      <pivotArea type="data" outline="0" fieldPosition="0">
        <references count="2">
          <reference field="4294967294" count="1" selected="0">
            <x v="0"/>
          </reference>
          <reference field="17" count="1" selected="0">
            <x v="2"/>
          </reference>
        </references>
      </pivotArea>
    </chartFormat>
    <chartFormat chart="58" format="20" series="1">
      <pivotArea type="data" outline="0" fieldPosition="0">
        <references count="2">
          <reference field="4294967294" count="1" selected="0">
            <x v="0"/>
          </reference>
          <reference field="17" count="1" selected="0">
            <x v="1"/>
          </reference>
        </references>
      </pivotArea>
    </chartFormat>
    <chartFormat chart="60" format="22" series="1">
      <pivotArea type="data" outline="0" fieldPosition="0">
        <references count="2">
          <reference field="4294967294" count="1" selected="0">
            <x v="0"/>
          </reference>
          <reference field="17" count="1" selected="0">
            <x v="1"/>
          </reference>
        </references>
      </pivotArea>
    </chartFormat>
    <chartFormat chart="60" format="23" series="1">
      <pivotArea type="data" outline="0" fieldPosition="0">
        <references count="2">
          <reference field="4294967294" count="1" selected="0">
            <x v="0"/>
          </reference>
          <reference field="17" count="1" selected="0">
            <x v="0"/>
          </reference>
        </references>
      </pivotArea>
    </chartFormat>
    <chartFormat chart="60" format="24" series="1">
      <pivotArea type="data" outline="0" fieldPosition="0">
        <references count="2">
          <reference field="4294967294" count="1" selected="0">
            <x v="0"/>
          </reference>
          <reference field="17" count="1" selected="0">
            <x v="2"/>
          </reference>
        </references>
      </pivotArea>
    </chartFormat>
    <chartFormat chart="60" format="25" series="1">
      <pivotArea type="data" outline="0" fieldPosition="0">
        <references count="2">
          <reference field="4294967294" count="1" selected="0">
            <x v="0"/>
          </reference>
          <reference field="17" count="1" selected="0">
            <x v="3"/>
          </reference>
        </references>
      </pivotArea>
    </chartFormat>
  </chartFormats>
  <pivotTableStyleInfo name="PivotStyleMedium9" showRowHeaders="1" showColHeaders="1" showRowStripes="0" showColStripes="0" showLastColumn="1"/>
  <filters count="2">
    <filter fld="17" type="captionEqual" evalOrder="-1" id="4" stringValue1="Execelsa">
      <autoFilter ref="A1">
        <filterColumn colId="0">
          <filters>
            <filter val="Execelsa"/>
          </filters>
        </filterColumn>
      </autoFilter>
    </filter>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97B6A07-268F-4DDB-A5A3-C1776CFCF4EE}" name="PivotTable2" cacheId="8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9">
  <location ref="A3:C7" firstHeaderRow="0" firstDataRow="1" firstDataCol="1"/>
  <pivotFields count="22">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showAll="0"/>
    <pivotField showAll="0"/>
    <pivotField showAll="0"/>
    <pivotField showAll="0"/>
    <pivotField showAll="0"/>
    <pivotField numFmtId="44" showAll="0">
      <items count="5">
        <item x="3"/>
        <item x="1"/>
        <item x="0"/>
        <item x="2"/>
        <item t="default"/>
      </items>
    </pivotField>
    <pivotField numFmtId="44" showAll="0"/>
    <pivotField dataField="1" showAll="0"/>
    <pivotField numFmtId="44" showAll="0"/>
    <pivotField dataField="1" numFmtId="44" showAll="0"/>
    <pivotField axis="axisRow" showAll="0">
      <items count="5">
        <item x="2"/>
        <item x="1"/>
        <item x="3"/>
        <item x="0"/>
        <item t="default"/>
      </items>
    </pivotField>
    <pivotField showAll="0">
      <items count="4">
        <item x="2"/>
        <item x="1"/>
        <item x="0"/>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s>
  <rowFields count="1">
    <field x="17"/>
  </rowFields>
  <rowItems count="4">
    <i>
      <x/>
    </i>
    <i>
      <x v="1"/>
    </i>
    <i>
      <x v="2"/>
    </i>
    <i>
      <x v="3"/>
    </i>
  </rowItems>
  <colFields count="1">
    <field x="-2"/>
  </colFields>
  <colItems count="2">
    <i>
      <x/>
    </i>
    <i i="1">
      <x v="1"/>
    </i>
  </colItems>
  <dataFields count="2">
    <dataField name="Sum of Sales" fld="14" baseField="0" baseItem="0"/>
    <dataField name="Sum of Product Profit" fld="16" baseField="0" baseItem="0" numFmtId="44"/>
  </dataFields>
  <formats count="1">
    <format dxfId="32">
      <pivotArea dataOnly="0" outline="0" fieldPosition="0">
        <references count="1">
          <reference field="4294967294" count="1">
            <x v="0"/>
          </reference>
        </references>
      </pivotArea>
    </format>
  </formats>
  <chartFormats count="8">
    <chartFormat chart="59" format="25" series="1">
      <pivotArea type="data" outline="0" fieldPosition="0">
        <references count="1">
          <reference field="4294967294" count="1" selected="0">
            <x v="0"/>
          </reference>
        </references>
      </pivotArea>
    </chartFormat>
    <chartFormat chart="59" format="26" series="1">
      <pivotArea type="data" outline="0" fieldPosition="0">
        <references count="1">
          <reference field="4294967294" count="1" selected="0">
            <x v="1"/>
          </reference>
        </references>
      </pivotArea>
    </chartFormat>
    <chartFormat chart="68" format="31" series="1">
      <pivotArea type="data" outline="0" fieldPosition="0">
        <references count="1">
          <reference field="4294967294" count="1" selected="0">
            <x v="0"/>
          </reference>
        </references>
      </pivotArea>
    </chartFormat>
    <chartFormat chart="68" format="32" series="1">
      <pivotArea type="data" outline="0" fieldPosition="0">
        <references count="1">
          <reference field="4294967294" count="1" selected="0">
            <x v="1"/>
          </reference>
        </references>
      </pivotArea>
    </chartFormat>
    <chartFormat chart="68" format="33">
      <pivotArea type="data" outline="0" fieldPosition="0">
        <references count="2">
          <reference field="4294967294" count="1" selected="0">
            <x v="1"/>
          </reference>
          <reference field="17" count="1" selected="0">
            <x v="0"/>
          </reference>
        </references>
      </pivotArea>
    </chartFormat>
    <chartFormat chart="68" format="34">
      <pivotArea type="data" outline="0" fieldPosition="0">
        <references count="2">
          <reference field="4294967294" count="1" selected="0">
            <x v="1"/>
          </reference>
          <reference field="17" count="1" selected="0">
            <x v="1"/>
          </reference>
        </references>
      </pivotArea>
    </chartFormat>
    <chartFormat chart="68" format="35">
      <pivotArea type="data" outline="0" fieldPosition="0">
        <references count="2">
          <reference field="4294967294" count="1" selected="0">
            <x v="1"/>
          </reference>
          <reference field="17" count="1" selected="0">
            <x v="2"/>
          </reference>
        </references>
      </pivotArea>
    </chartFormat>
    <chartFormat chart="68" format="36">
      <pivotArea type="data" outline="0" fieldPosition="0">
        <references count="2">
          <reference field="4294967294" count="1" selected="0">
            <x v="1"/>
          </reference>
          <reference field="1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D711470-462F-40B9-8EB9-F0EE210E67F8}" sourceName="Size">
  <pivotTables>
    <pivotTable tabId="18" name="TotalSales"/>
    <pivotTable tabId="19" name="TotalSales"/>
    <pivotTable tabId="22" name="TotalSales"/>
  </pivotTables>
  <data>
    <tabular pivotCacheId="48953093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010F9E2-1E01-45B6-9839-3D350D8EF17F}" sourceName="Loyalty Card">
  <pivotTables>
    <pivotTable tabId="18" name="TotalSales"/>
    <pivotTable tabId="19" name="TotalSales"/>
    <pivotTable tabId="22" name="TotalSales"/>
  </pivotTables>
  <data>
    <tabular pivotCacheId="489530932">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869EF7C-D7C0-4C0A-B5FA-81316D697B9F}" sourceName="Roast Type Name">
  <pivotTables>
    <pivotTable tabId="18" name="TotalSales"/>
  </pivotTables>
  <data>
    <tabular pivotCacheId="48953093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A267CE4B-A153-4584-9F06-43E0BE4D69E2}" sourceName="Coffee Type Name">
  <pivotTables>
    <pivotTable tabId="24" name="PivotTable2"/>
    <pivotTable tabId="25" name="PivotTable2"/>
    <pivotTable tabId="34" name="PivotTable2"/>
    <pivotTable tabId="35" name="PivotTable2"/>
    <pivotTable tabId="36" name="PivotTable2"/>
    <pivotTable tabId="37" name="PivotTable2"/>
    <pivotTable tabId="38" name="PivotTable2"/>
    <pivotTable tabId="39" name="PivotTable2"/>
    <pivotTable tabId="40" name="PivotTable2"/>
    <pivotTable tabId="41" name="PivotTable2"/>
  </pivotTables>
  <data>
    <tabular pivotCacheId="489530932">
      <items count="4">
        <i x="2" s="1"/>
        <i x="1" s="1"/>
        <i x="3"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D1C367B2-A0BB-4F75-8C1C-37BDB3F95C1E}" sourceName="Roast Type Name">
  <pivotTables>
    <pivotTable tabId="24" name="PivotTable2"/>
    <pivotTable tabId="25" name="PivotTable2"/>
    <pivotTable tabId="34" name="PivotTable2"/>
    <pivotTable tabId="35" name="PivotTable2"/>
    <pivotTable tabId="36" name="PivotTable2"/>
    <pivotTable tabId="37" name="PivotTable2"/>
    <pivotTable tabId="38" name="PivotTable2"/>
    <pivotTable tabId="39" name="PivotTable2"/>
    <pivotTable tabId="40" name="PivotTable2"/>
    <pivotTable tabId="41" name="PivotTable2"/>
  </pivotTables>
  <data>
    <tabular pivotCacheId="489530932">
      <items count="3">
        <i x="2" s="1"/>
        <i x="1" s="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1" xr10:uid="{7FAEE220-5F3B-48AC-A3E2-0ED4B6BB25AF}" sourceName="Size">
  <pivotTables>
    <pivotTable tabId="41" name="PivotTable2"/>
  </pivotTables>
  <data>
    <tabular pivotCacheId="489530932">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47FD0FBA-05AE-4343-A687-79A36D03A457}" cache="Slicer_Size" caption="Size" columnCount="2" style="Purple Slicer Style " rowHeight="241300"/>
  <slicer name="Loyalty Card" xr10:uid="{44DD2408-A9B7-485F-BA55-31FABB8DB94B}" cache="Slicer_Loyalty_Card" caption="Loyalty Card" style="Purple Slicer Style " rowHeight="241300"/>
  <slicer name="Roast Type Name" xr10:uid="{AE0D803C-9F16-4D4E-ACA5-2943B77BF339}" cache="Slicer_Roast_Type_Name" caption="Roast Type Name" columnCount="3" style="Purple Slicer Style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xr10:uid="{611448EA-209A-4864-85E7-5D29678F37AB}" cache="Slicer_Coffee_Type_Name" caption="Coffee Type Name" rowHeight="241300"/>
  <slicer name="Roast Type Name 2" xr10:uid="{2BB0BF2F-C0D7-40DF-B305-B6E8DFB4EDD7}" cache="Slicer_Roast_Type_Name1" caption="Roast Type Nam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2" xr10:uid="{AFB84859-9700-43F9-882C-FB25312BE87D}" cache="Slicer_Size1" caption="Size"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D3598581-3440-40AA-947E-C09967D60BF3}" cache="Slicer_Size" caption="Size" columnCount="2" style="Purple Slicer Style " rowHeight="241300"/>
  <slicer name="Loyalty Card 1" xr10:uid="{8B6FA1E1-5D36-4A1C-B702-22D252EB2A2E}" cache="Slicer_Loyalty_Card" caption="Loyalty Card" style="Purple Slicer Style " rowHeight="241300"/>
  <slicer name="Roast Type Name 1" xr10:uid="{105035F3-737F-43E5-923B-1DF16ECCCD03}" cache="Slicer_Roast_Type_Name" caption="Roast Type Name" columnCount="3" style="Purple Slicer Style "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ffee Type Name 1" xr10:uid="{8C82D3FD-5FA8-4E27-B650-C8685F243FF7}" cache="Slicer_Coffee_Type_Name" caption="Coffee Type Name" columnCount="4" rowHeight="241300"/>
  <slicer name="Roast Type Name 3" xr10:uid="{1004A5AD-F8C3-45AE-B8AE-7F245B64AAFA}" cache="Slicer_Roast_Type_Name1" caption="Roast Type Name" columnCount="3" rowHeight="2413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4" xr10:uid="{179558FE-B62B-4132-B818-0047B70B2ADB}" cache="Slicer_Roast_Type_Name1" caption="Roast Type Name" rowHeight="241300"/>
  <slicer name="Size 3" xr10:uid="{BA375B9B-BAC8-436C-BB64-69E2D2B24D48}" cache="Slicer_Size1" caption="Siz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35BCC3-0B50-4BE3-9FE8-F5D796627A27}" name="Orders" displayName="Orders" ref="A1:T1001" totalsRowShown="0" headerRowDxfId="47">
  <autoFilter ref="A1:T1001" xr:uid="{3B35BCC3-0B50-4BE3-9FE8-F5D796627A27}"/>
  <tableColumns count="20">
    <tableColumn id="1" xr3:uid="{6A192704-727A-4357-B553-8E79044105A6}" name="Order ID" dataDxfId="46"/>
    <tableColumn id="2" xr3:uid="{8FAC0DD4-B926-4EE3-A443-8F007A4A8693}" name="Order Date" dataDxfId="45"/>
    <tableColumn id="3" xr3:uid="{661AAC0B-9F7E-4C72-8BE7-E03D67D4AA94}" name="Customer ID" dataDxfId="44"/>
    <tableColumn id="4" xr3:uid="{872B59BF-8F30-4DB1-98A9-6FE82CCDB94C}" name="Product ID"/>
    <tableColumn id="19" xr3:uid="{167C3A55-B994-4C3D-AEC3-E6392F05FBE3}" name="Product Details" dataDxfId="43">
      <calculatedColumnFormula>IF(LEFT(D2,1)="R", "Robusta",
    IF(LEFT(D2,1)="A", "Arabica",
        IF(LEFT(D2,1)="E", "Excelsa",
            IF(LEFT(D2,1)="L", "Liberica", "")
        )
    )
) &amp; "-" &amp;
IF(MID(D2,3,1)="D", "Dark",
    IF(MID(D2,3,1)="M", "Medium",
        IF(MID(D2,3,1)="L", "Light", "")
    )
) &amp; "-" &amp;
MID(D2,5,LEN(D2)-4)</calculatedColumnFormula>
    </tableColumn>
    <tableColumn id="5" xr3:uid="{BBAAAAD2-2045-4DB4-82C6-1455A330833D}" name="Quantity" dataDxfId="42"/>
    <tableColumn id="6" xr3:uid="{B4C9550D-35EC-4E73-B97F-681B70E82F70}" name="Customer Name" dataDxfId="41">
      <calculatedColumnFormula array="1">_xlfn.XLOOKUP(C2, customers!$A$1:A1001,customers!$B$1:B1001,,0)</calculatedColumnFormula>
    </tableColumn>
    <tableColumn id="7" xr3:uid="{01B2E41C-CDDD-4520-A15B-4E6895415878}" name="Email" dataDxfId="40">
      <calculatedColumnFormula array="1">IF(_xlfn.XLOOKUP(C2,customers!$A$1:A1001,customers!$C$1:C1001,,0) = 0,"", _xlfn.XLOOKUP(C2,customers!$A$1:A1001,customers!$C$1:C1001,,0))</calculatedColumnFormula>
    </tableColumn>
    <tableColumn id="8" xr3:uid="{B6D8416C-23F3-456C-9A52-4504B00CE10D}" name="Country" dataDxfId="39">
      <calculatedColumnFormula>_xlfn.XLOOKUP(C2,customers!$A$1:$A$1001,customers!$G$1:$G$1001,,0)</calculatedColumnFormula>
    </tableColumn>
    <tableColumn id="18" xr3:uid="{D6806498-58A9-4C85-A09A-42D5E00A7B83}" name="City" dataDxfId="38">
      <calculatedColumnFormula>_xlfn.XLOOKUP(Orders[[#This Row],[Customer ID]],customers!$A$1:$A$1001,customers!$F$1:$F$1001,,0)</calculatedColumnFormula>
    </tableColumn>
    <tableColumn id="9" xr3:uid="{B59BBBC0-5071-45EB-9646-BA5F6DDF664D}" name="Coffee Type">
      <calculatedColumnFormula>INDEX(products!$A$1:$G$49,MATCH(orders!$D2,products!$A$1:$A$49,0),MATCH(orders!K$1,products!$A$1:$G$1,0))</calculatedColumnFormula>
    </tableColumn>
    <tableColumn id="10" xr3:uid="{61338961-42E3-457B-A2FD-4664FF2FB6A2}" name="Roast Type">
      <calculatedColumnFormula>INDEX(products!$A$1:$G$49,MATCH(orders!$D2,products!$A$1:$A$49,0),MATCH(orders!L$1,products!$A$1:$G$1,0))</calculatedColumnFormula>
    </tableColumn>
    <tableColumn id="11" xr3:uid="{ECF952C7-6FEE-41CA-9ED1-284971B4E40C}" name="Size" dataDxfId="37">
      <calculatedColumnFormula>INDEX(products!$A$1:$G$49,MATCH(orders!$D2,products!$A$1:$A$49,0),MATCH(orders!M$1,products!$A$1:$G$1,0))</calculatedColumnFormula>
    </tableColumn>
    <tableColumn id="12" xr3:uid="{B6DB6011-6659-430A-B840-61D4F6C80385}" name="Unit Price" dataDxfId="36">
      <calculatedColumnFormula>INDEX(products!$A$1:$G$49,MATCH(orders!$D2,products!$A$1:$A$49,0),MATCH(orders!N$1,products!$A$1:$G$1,0))</calculatedColumnFormula>
    </tableColumn>
    <tableColumn id="13" xr3:uid="{8227FFBC-D65A-4E1F-84CD-26866F728823}" name="Sales" dataCellStyle="Currency">
      <calculatedColumnFormula>N2*F2</calculatedColumnFormula>
    </tableColumn>
    <tableColumn id="20" xr3:uid="{4AC5B8C9-F7F1-44EC-BFC4-DEED0C1F7C6F}" name="Profit" dataDxfId="35" dataCellStyle="Currency">
      <calculatedColumnFormula>_xlfn.XLOOKUP(Orders[[#This Row],[Product ID]],products!$A$1:$A$49,products!$G$1:$G$49,,0)</calculatedColumnFormula>
    </tableColumn>
    <tableColumn id="21" xr3:uid="{C65AB368-ED05-4CB3-A1A3-2088A2FB3316}" name="Product Profit" dataDxfId="34" dataCellStyle="Currency">
      <calculatedColumnFormula>P2*F2</calculatedColumnFormula>
    </tableColumn>
    <tableColumn id="14" xr3:uid="{AAFFAC77-9E0A-4608-9753-EBF9F295EDF2}" name="Coffee Type Name">
      <calculatedColumnFormula>IF(K2="Rob","Robusta",IF(K2="Exc","Execelsa",IF(K2="Ara","Arabica",IF(K2="Lib","Liberica",""))))</calculatedColumnFormula>
    </tableColumn>
    <tableColumn id="15" xr3:uid="{BD618F26-747D-4056-A8A8-751C808E9290}" name="Roast Type Name">
      <calculatedColumnFormula xml:space="preserve"> IF(L2="M", "Medium", IF(L2="L","Light",IF(L2="D","Dark","")))</calculatedColumnFormula>
    </tableColumn>
    <tableColumn id="16" xr3:uid="{811674FD-1393-4EA3-BE30-51CDA9C0AC9C}" name="Loyalty Card" dataDxfId="33">
      <calculatedColumnFormula>_xlfn.XLOOKUP(Orders[[#This Row],[Customer ID]],customers!$A$1:$A$1001,customers!$I$1:$I$1001,,0)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6A43FA-D799-4D6D-BA25-2CE212BA9D13}" name="Table9" displayName="Table9" ref="B4:C7" totalsRowShown="0">
  <autoFilter ref="B4:C7" xr:uid="{B06A43FA-D799-4D6D-BA25-2CE212BA9D13}"/>
  <tableColumns count="2">
    <tableColumn id="1" xr3:uid="{C4A285E0-796F-4EFD-A810-85DDBBD2FC86}" name="Metric"/>
    <tableColumn id="2" xr3:uid="{86AFAD3A-9BDA-4D7D-B280-87B2EE9FAF2B}" name="Dat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AEEAC31-33E5-403B-B0B9-3AD3995F0FEC}" name="Table10" displayName="Table10" ref="E4:F8" totalsRowShown="0">
  <autoFilter ref="E4:F8" xr:uid="{4AEEAC31-33E5-403B-B0B9-3AD3995F0FEC}"/>
  <tableColumns count="2">
    <tableColumn id="1" xr3:uid="{2AFA5177-FE69-4607-AEFC-A2DA16D914AD}" name="Metric"/>
    <tableColumn id="2" xr3:uid="{0FEFA62F-F159-4633-BEED-472B2BD22A35}" name="Data"/>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C03B412-2944-4B5B-A47F-2F351D8B4788}" sourceName="Order Date">
  <pivotTables>
    <pivotTable tabId="18" name="TotalSales"/>
    <pivotTable tabId="19" name="TotalSales"/>
    <pivotTable tabId="22" name="TotalSales"/>
  </pivotTables>
  <state minimalRefreshVersion="6" lastRefreshVersion="6" pivotCacheId="489530932" filterType="unknown">
    <bounds startDate="2019-01-01T00:00:00" endDate="2023-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3E4A0E60-AC2B-408E-B467-3B281E53DB38}" sourceName="Order Date">
  <pivotTables>
    <pivotTable tabId="24" name="PivotTable2"/>
  </pivotTables>
  <state minimalRefreshVersion="6" lastRefreshVersion="6" pivotCacheId="489530932"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5FE5A4D-E96B-4EEC-98BE-A6BD34CB11F3}" cache="NativeTimeline_Order_Date" caption="Order Date" level="2" selectionLevel="2" scrollPosition="2019-05-14T00:00:00" style="Purple Timeline Styl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BFB32D3A-6EFF-42FB-8E42-5C38D8B41F38}" cache="NativeTimeline_Order_Date1" caption="Order Date" level="2" selectionLevel="2" scrollPosition="2020-02-19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8849BB1D-5A4B-4462-8298-43211073B1BB}" cache="NativeTimeline_Order_Date" caption="Order Date" level="2" selectionLevel="2" scrollPosition="2019-02-05T00:00:00" style="Purple Timeline Style "/>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AAF765DD-6C14-4343-B79C-09C34A01881A}" cache="NativeTimeline_Order_Date1" caption="Order Date" level="2" selectionLevel="2" scrollPosition="2019-12-08T00:00:00"/>
</timelines>
</file>

<file path=xl/timelines/timeline5.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4" xr10:uid="{19287153-4CF7-4098-AA52-C2203BE20106}" cache="NativeTimeline_Order_Date1" caption="Order Date" level="2" selectionLevel="2" scrollPosition="2019-12-08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 Id="rId4" Type="http://schemas.microsoft.com/office/2011/relationships/timeline" Target="../timelines/timelin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9.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0.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1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15.xml"/><Relationship Id="rId1" Type="http://schemas.openxmlformats.org/officeDocument/2006/relationships/printerSettings" Target="../printerSettings/printerSettings1.bin"/><Relationship Id="rId4" Type="http://schemas.microsoft.com/office/2011/relationships/timeline" Target="../timelines/timeline3.xml"/></Relationships>
</file>

<file path=xl/worksheets/_rels/sheet2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6.xml"/><Relationship Id="rId1" Type="http://schemas.openxmlformats.org/officeDocument/2006/relationships/printerSettings" Target="../printerSettings/printerSettings2.bin"/><Relationship Id="rId4" Type="http://schemas.microsoft.com/office/2011/relationships/timeline" Target="../timelines/timeline4.xml"/></Relationships>
</file>

<file path=xl/worksheets/_rels/sheet21.xml.rels><?xml version="1.0" encoding="UTF-8" standalone="yes"?>
<Relationships xmlns="http://schemas.openxmlformats.org/package/2006/relationships"><Relationship Id="rId3" Type="http://schemas.microsoft.com/office/2011/relationships/timeline" Target="../timelines/timeline5.xml"/><Relationship Id="rId2" Type="http://schemas.microsoft.com/office/2007/relationships/slicer" Target="../slicers/slicer6.xml"/><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X1001"/>
  <sheetViews>
    <sheetView zoomScaleNormal="100" workbookViewId="0">
      <selection activeCell="E4" sqref="E4"/>
    </sheetView>
  </sheetViews>
  <sheetFormatPr defaultRowHeight="14.5" x14ac:dyDescent="0.35"/>
  <cols>
    <col min="1" max="1" width="15.08984375" bestFit="1" customWidth="1"/>
    <col min="2" max="2" width="12.54296875" bestFit="1" customWidth="1"/>
    <col min="3" max="3" width="15.81640625" bestFit="1" customWidth="1"/>
    <col min="4" max="4" width="12" bestFit="1" customWidth="1"/>
    <col min="5" max="5" width="18.90625" bestFit="1" customWidth="1"/>
    <col min="6" max="6" width="10.6328125" bestFit="1" customWidth="1"/>
    <col min="7" max="7" width="22.6328125" bestFit="1" customWidth="1"/>
    <col min="8" max="8" width="37.6328125" bestFit="1" customWidth="1"/>
    <col min="9" max="9" width="14.7265625" bestFit="1" customWidth="1"/>
    <col min="10" max="10" width="19.7265625" bestFit="1" customWidth="1"/>
    <col min="11" max="11" width="13.453125" bestFit="1" customWidth="1"/>
    <col min="12" max="12" width="12.36328125" bestFit="1" customWidth="1"/>
    <col min="13" max="13" width="6.6328125" bestFit="1" customWidth="1"/>
    <col min="14" max="14" width="11.54296875" bestFit="1" customWidth="1"/>
    <col min="15" max="15" width="9" style="13" bestFit="1" customWidth="1"/>
    <col min="16" max="16" width="9" style="13" customWidth="1"/>
    <col min="17" max="17" width="16.453125" style="13" bestFit="1" customWidth="1"/>
    <col min="18" max="18" width="19.1796875" bestFit="1" customWidth="1"/>
    <col min="19" max="19" width="18" bestFit="1" customWidth="1"/>
    <col min="20" max="20" width="13.453125" bestFit="1" customWidth="1"/>
    <col min="23" max="23" width="13.08984375" bestFit="1" customWidth="1"/>
  </cols>
  <sheetData>
    <row r="1" spans="1:24" x14ac:dyDescent="0.35">
      <c r="A1" s="2" t="s">
        <v>0</v>
      </c>
      <c r="B1" s="2" t="s">
        <v>1</v>
      </c>
      <c r="C1" s="2" t="s">
        <v>3</v>
      </c>
      <c r="D1" s="2" t="s">
        <v>11</v>
      </c>
      <c r="E1" s="2" t="s">
        <v>6232</v>
      </c>
      <c r="F1" s="2" t="s">
        <v>14</v>
      </c>
      <c r="G1" s="2" t="s">
        <v>4</v>
      </c>
      <c r="H1" s="2" t="s">
        <v>2</v>
      </c>
      <c r="I1" s="2" t="s">
        <v>7</v>
      </c>
      <c r="J1" s="2" t="s">
        <v>6</v>
      </c>
      <c r="K1" s="2" t="s">
        <v>9</v>
      </c>
      <c r="L1" s="2" t="s">
        <v>10</v>
      </c>
      <c r="M1" s="2" t="s">
        <v>12</v>
      </c>
      <c r="N1" s="2" t="s">
        <v>13</v>
      </c>
      <c r="O1" s="12" t="s">
        <v>15</v>
      </c>
      <c r="P1" s="12" t="s">
        <v>16</v>
      </c>
      <c r="Q1" s="12" t="s">
        <v>6244</v>
      </c>
      <c r="R1" s="2" t="s">
        <v>6196</v>
      </c>
      <c r="S1" s="2" t="s">
        <v>6197</v>
      </c>
      <c r="T1" s="2" t="s">
        <v>6189</v>
      </c>
    </row>
    <row r="2" spans="1:24" x14ac:dyDescent="0.35">
      <c r="A2" s="2" t="s">
        <v>490</v>
      </c>
      <c r="B2" s="3">
        <v>43713</v>
      </c>
      <c r="C2" s="2" t="s">
        <v>491</v>
      </c>
      <c r="D2" t="s">
        <v>6138</v>
      </c>
      <c r="E2" t="str">
        <f>IF(LEFT(D2,1)="R", "Robusta",
    IF(LEFT(D2,1)="A", "Arabica",
        IF(LEFT(D2,1)="E", "Excelsa",
            IF(LEFT(D2,1)="L", "Liberica", "")
        )
    )
) &amp; "-" &amp;
IF(MID(D2,3,1)="D", "Dark",
    IF(MID(D2,3,1)="M", "Medium",
        IF(MID(D2,3,1)="L", "Light", "")
    )
) &amp; "-" &amp;
MID(D2,5,LEN(D2)-4)</f>
        <v>Robusta-Medium-1</v>
      </c>
      <c r="F2" s="2">
        <v>2</v>
      </c>
      <c r="G2" s="2" t="str" cm="1">
        <f t="array" ref="G2">_xlfn.XLOOKUP(C2, customers!$A$1:A1001,customers!$B$1:B1001,,0)</f>
        <v>Aloisia Allner</v>
      </c>
      <c r="H2" s="2" t="str" cm="1">
        <f t="array" ref="H2">IF(_xlfn.XLOOKUP(C2,customers!$A$1:A1001,customers!$C$1:C1001,,0) = 0,"", _xlfn.XLOOKUP(C2,customers!$A$1:A1001,customers!$C$1:C1001,,0))</f>
        <v>aallner0@lulu.com</v>
      </c>
      <c r="I2" s="2" t="str">
        <f>_xlfn.XLOOKUP(C2,customers!$A$1:$A$1001,customers!$G$1:$G$1001,,0)</f>
        <v>United States</v>
      </c>
      <c r="J2" s="2" t="str">
        <f>_xlfn.XLOOKUP(Orders[[#This Row],[Customer ID]],customers!$A$1:$A$1001,customers!$F$1:$F$1001,,0)</f>
        <v>Paterson</v>
      </c>
      <c r="K2" t="str">
        <f>INDEX(products!$A$1:$G$49,MATCH(orders!$D2,products!$A$1:$A$49,0),MATCH(orders!K$1,products!$A$1:$G$1,0))</f>
        <v>Rob</v>
      </c>
      <c r="L2" t="str">
        <f>INDEX(products!$A$1:$G$49,MATCH(orders!$D2,products!$A$1:$A$49,0),MATCH(orders!L$1,products!$A$1:$G$1,0))</f>
        <v>M</v>
      </c>
      <c r="M2" s="14">
        <f>INDEX(products!$A$1:$G$49,MATCH(orders!$D2,products!$A$1:$A$49,0),MATCH(orders!M$1,products!$A$1:$G$1,0))</f>
        <v>1</v>
      </c>
      <c r="N2" s="4">
        <f>INDEX(products!$A$1:$G$49,MATCH(orders!$D2,products!$A$1:$A$49,0),MATCH(orders!N$1,products!$A$1:$G$1,0))</f>
        <v>9.9499999999999993</v>
      </c>
      <c r="O2" s="13">
        <f t="shared" ref="O2:O65" si="0">N2*F2</f>
        <v>19.899999999999999</v>
      </c>
      <c r="P2" s="13">
        <f>_xlfn.XLOOKUP(Orders[[#This Row],[Product ID]],products!$A$1:$A$49,products!$G$1:$G$49,,0)</f>
        <v>0.59699999999999998</v>
      </c>
      <c r="Q2" s="13">
        <f t="shared" ref="Q2:Q65" si="1">P2*F2</f>
        <v>1.194</v>
      </c>
      <c r="R2" t="str">
        <f>IF(K2="Rob","Robusta",IF(K2="Exc","Execelsa",IF(K2="Ara","Arabica",IF(K2="Lib","Liberica",""))))</f>
        <v>Robusta</v>
      </c>
      <c r="S2" t="str">
        <f xml:space="preserve"> IF(L2="M", "Medium", IF(L2="L","Light",IF(L2="D","Dark","")))</f>
        <v>Medium</v>
      </c>
      <c r="T2" t="str">
        <f>_xlfn.XLOOKUP(Orders[[#This Row],[Customer ID]],customers!$A$1:$A$1001,customers!$I$1:$I$1001,,0)</f>
        <v>Yes</v>
      </c>
    </row>
    <row r="3" spans="1:24" x14ac:dyDescent="0.35">
      <c r="A3" s="2" t="s">
        <v>490</v>
      </c>
      <c r="B3" s="3">
        <v>43713</v>
      </c>
      <c r="C3" s="2" t="s">
        <v>491</v>
      </c>
      <c r="D3" t="s">
        <v>6139</v>
      </c>
      <c r="E3" t="str">
        <f>IF(LEFT(D3,1)="R", "Robusta",
    IF(LEFT(D3,1)="A", "Arabica",
        IF(LEFT(D3,1)="E", "Excelsa",
            IF(LEFT(D3,1)="L", "Liberica", "")
        )
    )
) &amp; "-" &amp;
IF(MID(D3,3,1)="D", "Dark",
    IF(MID(D3,3,1)="M", "Medium",
        IF(MID(D3,3,1)="L", "Light", "")
    )
) &amp; "-" &amp;
MID(D3,5,LEN(D3)-4)</f>
        <v>Excelsa-Medium-0.5</v>
      </c>
      <c r="F3" s="2">
        <v>5</v>
      </c>
      <c r="G3" s="2" t="str" cm="1">
        <f t="array" ref="G3">_xlfn.XLOOKUP(C3, customers!$A$1:A1002,customers!$B$1:B1002,,0)</f>
        <v>Aloisia Allner</v>
      </c>
      <c r="H3" s="2" t="str" cm="1">
        <f t="array" ref="H3">IF(_xlfn.XLOOKUP(C3,customers!$A$1:A1002,customers!$C$1:C1002,,0) = 0,"", _xlfn.XLOOKUP(C3,customers!$A$1:A1002,customers!$C$1:C1002,,0))</f>
        <v>aallner0@lulu.com</v>
      </c>
      <c r="I3" s="2" t="str">
        <f>_xlfn.XLOOKUP(C3,customers!$A$1:$A$1001,customers!$G$1:$G$1001,,0)</f>
        <v>United States</v>
      </c>
      <c r="J3" s="2" t="str">
        <f>_xlfn.XLOOKUP(Orders[[#This Row],[Customer ID]],customers!$A$1:$A$1001,customers!$F$1:$F$1001,,0)</f>
        <v>Paterson</v>
      </c>
      <c r="K3" t="str">
        <f>INDEX(products!$A$1:$G$49,MATCH(orders!$D3,products!$A$1:$A$49,0),MATCH(orders!K$1,products!$A$1:$G$1,0))</f>
        <v>Exc</v>
      </c>
      <c r="L3" t="str">
        <f>INDEX(products!$A$1:$G$49,MATCH(orders!$D3,products!$A$1:$A$49,0),MATCH(orders!L$1,products!$A$1:$G$1,0))</f>
        <v>M</v>
      </c>
      <c r="M3" s="14">
        <f>INDEX(products!$A$1:$G$49,MATCH(orders!$D3,products!$A$1:$A$49,0),MATCH(orders!M$1,products!$A$1:$G$1,0))</f>
        <v>0.5</v>
      </c>
      <c r="N3" s="4">
        <f>INDEX(products!$A$1:$G$49,MATCH(orders!$D3,products!$A$1:$A$49,0),MATCH(orders!N$1,products!$A$1:$G$1,0))</f>
        <v>8.25</v>
      </c>
      <c r="O3" s="13">
        <f t="shared" si="0"/>
        <v>41.25</v>
      </c>
      <c r="P3" s="13">
        <f>_xlfn.XLOOKUP(Orders[[#This Row],[Product ID]],products!$A$1:$A$49,products!$G$1:$G$49,,0)</f>
        <v>0.90749999999999997</v>
      </c>
      <c r="Q3" s="13">
        <f t="shared" si="1"/>
        <v>4.5374999999999996</v>
      </c>
      <c r="R3" t="str">
        <f t="shared" ref="R3:R66" si="2">IF(K3="Rob","Robusta",IF(K3="Exc","Execelsa",IF(K3="Ara","Arabica",IF(K3="Lib","Liberica",""))))</f>
        <v>Execelsa</v>
      </c>
      <c r="S3" t="str">
        <f t="shared" ref="S3:S66" si="3" xml:space="preserve"> IF(L3="M", "Medium", IF(L3="L","Light",IF(L3="D","Dark","")))</f>
        <v>Medium</v>
      </c>
      <c r="T3" t="str">
        <f>_xlfn.XLOOKUP(Orders[[#This Row],[Customer ID]],customers!$A$1:$A$1001,customers!$I$1:$I$1001,,0)</f>
        <v>Yes</v>
      </c>
    </row>
    <row r="4" spans="1:24" x14ac:dyDescent="0.35">
      <c r="A4" s="2" t="s">
        <v>501</v>
      </c>
      <c r="B4" s="3">
        <v>44364</v>
      </c>
      <c r="C4" s="2" t="s">
        <v>502</v>
      </c>
      <c r="D4" t="s">
        <v>6140</v>
      </c>
      <c r="E4" t="str">
        <f t="shared" ref="E3:E66" si="4">IF(LEFT(D4,1)="R", "Robusta",
    IF(LEFT(D4,1)="A", "Arabica",
        IF(LEFT(D4,1)="E", "Excelsa",
            IF(LEFT(D4,1)="L", "Liberica", "")
        )
    )
) &amp; "-" &amp;
IF(MID(D4,3,1)="D", "Dark",
    IF(MID(D4,3,1)="M", "Medium",
        IF(MID(D4,3,1)="L", "Light", "")
    )
) &amp; "-" &amp;
MID(D4,5,LEN(D4)-4)</f>
        <v>Arabica-Light-1</v>
      </c>
      <c r="F4" s="2">
        <v>1</v>
      </c>
      <c r="G4" s="2" t="str" cm="1">
        <f t="array" ref="G4">_xlfn.XLOOKUP(C4, customers!$A$1:A1003,customers!$B$1:B1003,,0)</f>
        <v>Jami Redholes</v>
      </c>
      <c r="H4" s="2" t="str" cm="1">
        <f t="array" ref="H4">IF(_xlfn.XLOOKUP(C4,customers!$A$1:A1003,customers!$C$1:C1003,,0) = 0,"", _xlfn.XLOOKUP(C4,customers!$A$1:A1003,customers!$C$1:C1003,,0))</f>
        <v>jredholes2@tmall.com</v>
      </c>
      <c r="I4" s="2" t="str">
        <f>_xlfn.XLOOKUP(C4,customers!$A$1:$A$1001,customers!$G$1:$G$1001,,0)</f>
        <v>United States</v>
      </c>
      <c r="J4" s="2" t="str">
        <f>_xlfn.XLOOKUP(Orders[[#This Row],[Customer ID]],customers!$A$1:$A$1001,customers!$F$1:$F$1001,,0)</f>
        <v>San Antonio</v>
      </c>
      <c r="K4" t="str">
        <f>INDEX(products!$A$1:$G$49,MATCH(orders!$D4,products!$A$1:$A$49,0),MATCH(orders!K$1,products!$A$1:$G$1,0))</f>
        <v>Ara</v>
      </c>
      <c r="L4" t="str">
        <f>INDEX(products!$A$1:$G$49,MATCH(orders!$D4,products!$A$1:$A$49,0),MATCH(orders!L$1,products!$A$1:$G$1,0))</f>
        <v>L</v>
      </c>
      <c r="M4" s="14">
        <f>INDEX(products!$A$1:$G$49,MATCH(orders!$D4,products!$A$1:$A$49,0),MATCH(orders!M$1,products!$A$1:$G$1,0))</f>
        <v>1</v>
      </c>
      <c r="N4" s="4">
        <f>INDEX(products!$A$1:$G$49,MATCH(orders!$D4,products!$A$1:$A$49,0),MATCH(orders!N$1,products!$A$1:$G$1,0))</f>
        <v>12.95</v>
      </c>
      <c r="O4" s="13">
        <f t="shared" si="0"/>
        <v>12.95</v>
      </c>
      <c r="P4" s="13">
        <f>_xlfn.XLOOKUP(Orders[[#This Row],[Product ID]],products!$A$1:$A$49,products!$G$1:$G$49,,0)</f>
        <v>1.1655</v>
      </c>
      <c r="Q4" s="13">
        <f t="shared" si="1"/>
        <v>1.1655</v>
      </c>
      <c r="R4" t="str">
        <f t="shared" si="2"/>
        <v>Arabica</v>
      </c>
      <c r="S4" t="str">
        <f t="shared" si="3"/>
        <v>Light</v>
      </c>
      <c r="T4" t="str">
        <f>_xlfn.XLOOKUP(Orders[[#This Row],[Customer ID]],customers!$A$1:$A$1001,customers!$I$1:$I$1001,,0)</f>
        <v>Yes</v>
      </c>
    </row>
    <row r="5" spans="1:24" x14ac:dyDescent="0.35">
      <c r="A5" s="2" t="s">
        <v>512</v>
      </c>
      <c r="B5" s="3">
        <v>44392</v>
      </c>
      <c r="C5" s="2" t="s">
        <v>513</v>
      </c>
      <c r="D5" t="s">
        <v>6141</v>
      </c>
      <c r="E5" t="str">
        <f t="shared" si="4"/>
        <v>Excelsa-Medium-1</v>
      </c>
      <c r="F5" s="2">
        <v>2</v>
      </c>
      <c r="G5" s="2" t="str" cm="1">
        <f t="array" ref="G5">_xlfn.XLOOKUP(C5, customers!$A$1:A1004,customers!$B$1:B1004,,0)</f>
        <v>Christoffer O' Shea</v>
      </c>
      <c r="H5" s="2" t="str" cm="1">
        <f t="array" ref="H5">IF(_xlfn.XLOOKUP(C5,customers!$A$1:A1004,customers!$C$1:C1004,,0) = 0,"", _xlfn.XLOOKUP(C5,customers!$A$1:A1004,customers!$C$1:C1004,,0))</f>
        <v/>
      </c>
      <c r="I5" s="2" t="str">
        <f>_xlfn.XLOOKUP(C5,customers!$A$1:$A$1001,customers!$G$1:$G$1001,,0)</f>
        <v>Ireland</v>
      </c>
      <c r="J5" s="2" t="str">
        <f>_xlfn.XLOOKUP(Orders[[#This Row],[Customer ID]],customers!$A$1:$A$1001,customers!$F$1:$F$1001,,0)</f>
        <v>Cill Airne</v>
      </c>
      <c r="K5" t="str">
        <f>INDEX(products!$A$1:$G$49,MATCH(orders!$D5,products!$A$1:$A$49,0),MATCH(orders!K$1,products!$A$1:$G$1,0))</f>
        <v>Exc</v>
      </c>
      <c r="L5" t="str">
        <f>INDEX(products!$A$1:$G$49,MATCH(orders!$D5,products!$A$1:$A$49,0),MATCH(orders!L$1,products!$A$1:$G$1,0))</f>
        <v>M</v>
      </c>
      <c r="M5" s="14">
        <f>INDEX(products!$A$1:$G$49,MATCH(orders!$D5,products!$A$1:$A$49,0),MATCH(orders!M$1,products!$A$1:$G$1,0))</f>
        <v>1</v>
      </c>
      <c r="N5" s="4">
        <f>INDEX(products!$A$1:$G$49,MATCH(orders!$D5,products!$A$1:$A$49,0),MATCH(orders!N$1,products!$A$1:$G$1,0))</f>
        <v>13.75</v>
      </c>
      <c r="O5" s="13">
        <f t="shared" si="0"/>
        <v>27.5</v>
      </c>
      <c r="P5" s="13">
        <f>_xlfn.XLOOKUP(Orders[[#This Row],[Product ID]],products!$A$1:$A$49,products!$G$1:$G$49,,0)</f>
        <v>1.5125</v>
      </c>
      <c r="Q5" s="13">
        <f t="shared" si="1"/>
        <v>3.0249999999999999</v>
      </c>
      <c r="R5" t="str">
        <f t="shared" si="2"/>
        <v>Execelsa</v>
      </c>
      <c r="S5" t="str">
        <f t="shared" si="3"/>
        <v>Medium</v>
      </c>
      <c r="T5" t="str">
        <f>_xlfn.XLOOKUP(Orders[[#This Row],[Customer ID]],customers!$A$1:$A$1001,customers!$I$1:$I$1001,,0)</f>
        <v>No</v>
      </c>
    </row>
    <row r="6" spans="1:24" x14ac:dyDescent="0.35">
      <c r="A6" s="2" t="s">
        <v>512</v>
      </c>
      <c r="B6" s="3">
        <v>44392</v>
      </c>
      <c r="C6" s="2" t="s">
        <v>513</v>
      </c>
      <c r="D6" t="s">
        <v>6142</v>
      </c>
      <c r="E6" t="str">
        <f t="shared" si="4"/>
        <v>Robusta-Light-2.5</v>
      </c>
      <c r="F6" s="2">
        <v>2</v>
      </c>
      <c r="G6" s="2" t="str" cm="1">
        <f t="array" ref="G6">_xlfn.XLOOKUP(C6, customers!$A$1:A1005,customers!$B$1:B1005,,0)</f>
        <v>Christoffer O' Shea</v>
      </c>
      <c r="H6" s="2" t="str" cm="1">
        <f t="array" ref="H6">IF(_xlfn.XLOOKUP(C6,customers!$A$1:A1005,customers!$C$1:C1005,,0) = 0,"", _xlfn.XLOOKUP(C6,customers!$A$1:A1005,customers!$C$1:C1005,,0))</f>
        <v/>
      </c>
      <c r="I6" s="2" t="str">
        <f>_xlfn.XLOOKUP(C6,customers!$A$1:$A$1001,customers!$G$1:$G$1001,,0)</f>
        <v>Ireland</v>
      </c>
      <c r="J6" s="2" t="str">
        <f>_xlfn.XLOOKUP(Orders[[#This Row],[Customer ID]],customers!$A$1:$A$1001,customers!$F$1:$F$1001,,0)</f>
        <v>Cill Airne</v>
      </c>
      <c r="K6" t="str">
        <f>INDEX(products!$A$1:$G$49,MATCH(orders!$D6,products!$A$1:$A$49,0),MATCH(orders!K$1,products!$A$1:$G$1,0))</f>
        <v>Rob</v>
      </c>
      <c r="L6" t="str">
        <f>INDEX(products!$A$1:$G$49,MATCH(orders!$D6,products!$A$1:$A$49,0),MATCH(orders!L$1,products!$A$1:$G$1,0))</f>
        <v>L</v>
      </c>
      <c r="M6" s="14">
        <f>INDEX(products!$A$1:$G$49,MATCH(orders!$D6,products!$A$1:$A$49,0),MATCH(orders!M$1,products!$A$1:$G$1,0))</f>
        <v>2.5</v>
      </c>
      <c r="N6" s="4">
        <f>INDEX(products!$A$1:$G$49,MATCH(orders!$D6,products!$A$1:$A$49,0),MATCH(orders!N$1,products!$A$1:$G$1,0))</f>
        <v>27.484999999999996</v>
      </c>
      <c r="O6" s="13">
        <f t="shared" si="0"/>
        <v>54.969999999999992</v>
      </c>
      <c r="P6" s="13">
        <f>_xlfn.XLOOKUP(Orders[[#This Row],[Product ID]],products!$A$1:$A$49,products!$G$1:$G$49,,0)</f>
        <v>1.6490999999999998</v>
      </c>
      <c r="Q6" s="13">
        <f t="shared" si="1"/>
        <v>3.2981999999999996</v>
      </c>
      <c r="R6" t="str">
        <f t="shared" si="2"/>
        <v>Robusta</v>
      </c>
      <c r="S6" t="str">
        <f t="shared" si="3"/>
        <v>Light</v>
      </c>
      <c r="T6" t="str">
        <f>_xlfn.XLOOKUP(Orders[[#This Row],[Customer ID]],customers!$A$1:$A$1001,customers!$I$1:$I$1001,,0)</f>
        <v>No</v>
      </c>
    </row>
    <row r="7" spans="1:24" x14ac:dyDescent="0.35">
      <c r="A7" s="2" t="s">
        <v>519</v>
      </c>
      <c r="B7" s="3">
        <v>44412</v>
      </c>
      <c r="C7" s="2" t="s">
        <v>520</v>
      </c>
      <c r="D7" t="s">
        <v>6143</v>
      </c>
      <c r="E7" t="str">
        <f t="shared" si="4"/>
        <v>Liberica-Dark-1</v>
      </c>
      <c r="F7" s="2">
        <v>3</v>
      </c>
      <c r="G7" s="2" t="str" cm="1">
        <f t="array" ref="G7">_xlfn.XLOOKUP(C7, customers!$A$1:A1006,customers!$B$1:B1006,,0)</f>
        <v>Beryle Cottier</v>
      </c>
      <c r="H7" s="2" t="str" cm="1">
        <f t="array" ref="H7">IF(_xlfn.XLOOKUP(C7,customers!$A$1:A1006,customers!$C$1:C1006,,0) = 0,"", _xlfn.XLOOKUP(C7,customers!$A$1:A1006,customers!$C$1:C1006,,0))</f>
        <v/>
      </c>
      <c r="I7" s="2" t="str">
        <f>_xlfn.XLOOKUP(C7,customers!$A$1:$A$1001,customers!$G$1:$G$1001,,0)</f>
        <v>United States</v>
      </c>
      <c r="J7" s="2" t="str">
        <f>_xlfn.XLOOKUP(Orders[[#This Row],[Customer ID]],customers!$A$1:$A$1001,customers!$F$1:$F$1001,,0)</f>
        <v>Scranton</v>
      </c>
      <c r="K7" t="str">
        <f>INDEX(products!$A$1:$G$49,MATCH(orders!$D7,products!$A$1:$A$49,0),MATCH(orders!K$1,products!$A$1:$G$1,0))</f>
        <v>Lib</v>
      </c>
      <c r="L7" t="str">
        <f>INDEX(products!$A$1:$G$49,MATCH(orders!$D7,products!$A$1:$A$49,0),MATCH(orders!L$1,products!$A$1:$G$1,0))</f>
        <v>D</v>
      </c>
      <c r="M7" s="14">
        <f>INDEX(products!$A$1:$G$49,MATCH(orders!$D7,products!$A$1:$A$49,0),MATCH(orders!M$1,products!$A$1:$G$1,0))</f>
        <v>1</v>
      </c>
      <c r="N7" s="4">
        <f>INDEX(products!$A$1:$G$49,MATCH(orders!$D7,products!$A$1:$A$49,0),MATCH(orders!N$1,products!$A$1:$G$1,0))</f>
        <v>12.95</v>
      </c>
      <c r="O7" s="13">
        <f t="shared" si="0"/>
        <v>38.849999999999994</v>
      </c>
      <c r="P7" s="13">
        <f>_xlfn.XLOOKUP(Orders[[#This Row],[Product ID]],products!$A$1:$A$49,products!$G$1:$G$49,,0)</f>
        <v>1.6835</v>
      </c>
      <c r="Q7" s="13">
        <f t="shared" si="1"/>
        <v>5.0504999999999995</v>
      </c>
      <c r="R7" t="str">
        <f t="shared" si="2"/>
        <v>Liberica</v>
      </c>
      <c r="S7" t="str">
        <f t="shared" si="3"/>
        <v>Dark</v>
      </c>
      <c r="T7" t="str">
        <f>_xlfn.XLOOKUP(Orders[[#This Row],[Customer ID]],customers!$A$1:$A$1001,customers!$I$1:$I$1001,,0)</f>
        <v>No</v>
      </c>
    </row>
    <row r="8" spans="1:24" x14ac:dyDescent="0.35">
      <c r="A8" s="2" t="s">
        <v>524</v>
      </c>
      <c r="B8" s="3">
        <v>44582</v>
      </c>
      <c r="C8" s="2" t="s">
        <v>525</v>
      </c>
      <c r="D8" t="s">
        <v>6144</v>
      </c>
      <c r="E8" t="str">
        <f t="shared" si="4"/>
        <v>Excelsa-Dark-0.5</v>
      </c>
      <c r="F8" s="2">
        <v>3</v>
      </c>
      <c r="G8" s="2" t="str" cm="1">
        <f t="array" ref="G8">_xlfn.XLOOKUP(C8, customers!$A$1:A1007,customers!$B$1:B1007,,0)</f>
        <v>Shaylynn Lobe</v>
      </c>
      <c r="H8" s="2" t="str" cm="1">
        <f t="array" ref="H8">IF(_xlfn.XLOOKUP(C8,customers!$A$1:A1007,customers!$C$1:C1007,,0) = 0,"", _xlfn.XLOOKUP(C8,customers!$A$1:A1007,customers!$C$1:C1007,,0))</f>
        <v>slobe6@nifty.com</v>
      </c>
      <c r="I8" s="2" t="str">
        <f>_xlfn.XLOOKUP(C8,customers!$A$1:$A$1001,customers!$G$1:$G$1001,,0)</f>
        <v>United States</v>
      </c>
      <c r="J8" s="2" t="str">
        <f>_xlfn.XLOOKUP(Orders[[#This Row],[Customer ID]],customers!$A$1:$A$1001,customers!$F$1:$F$1001,,0)</f>
        <v>Dayton</v>
      </c>
      <c r="K8" t="str">
        <f>INDEX(products!$A$1:$G$49,MATCH(orders!$D8,products!$A$1:$A$49,0),MATCH(orders!K$1,products!$A$1:$G$1,0))</f>
        <v>Exc</v>
      </c>
      <c r="L8" t="str">
        <f>INDEX(products!$A$1:$G$49,MATCH(orders!$D8,products!$A$1:$A$49,0),MATCH(orders!L$1,products!$A$1:$G$1,0))</f>
        <v>D</v>
      </c>
      <c r="M8" s="14">
        <f>INDEX(products!$A$1:$G$49,MATCH(orders!$D8,products!$A$1:$A$49,0),MATCH(orders!M$1,products!$A$1:$G$1,0))</f>
        <v>0.5</v>
      </c>
      <c r="N8" s="4">
        <f>INDEX(products!$A$1:$G$49,MATCH(orders!$D8,products!$A$1:$A$49,0),MATCH(orders!N$1,products!$A$1:$G$1,0))</f>
        <v>7.29</v>
      </c>
      <c r="O8" s="13">
        <f t="shared" si="0"/>
        <v>21.87</v>
      </c>
      <c r="P8" s="13">
        <f>_xlfn.XLOOKUP(Orders[[#This Row],[Product ID]],products!$A$1:$A$49,products!$G$1:$G$49,,0)</f>
        <v>0.80190000000000006</v>
      </c>
      <c r="Q8" s="13">
        <f t="shared" si="1"/>
        <v>2.4057000000000004</v>
      </c>
      <c r="R8" t="str">
        <f t="shared" si="2"/>
        <v>Execelsa</v>
      </c>
      <c r="S8" t="str">
        <f t="shared" si="3"/>
        <v>Dark</v>
      </c>
      <c r="T8" t="str">
        <f>_xlfn.XLOOKUP(Orders[[#This Row],[Customer ID]],customers!$A$1:$A$1001,customers!$I$1:$I$1001,,0)</f>
        <v>Yes</v>
      </c>
    </row>
    <row r="9" spans="1:24" x14ac:dyDescent="0.35">
      <c r="A9" s="2" t="s">
        <v>530</v>
      </c>
      <c r="B9" s="3">
        <v>44701</v>
      </c>
      <c r="C9" s="2" t="s">
        <v>531</v>
      </c>
      <c r="D9" t="s">
        <v>6145</v>
      </c>
      <c r="E9" t="str">
        <f t="shared" si="4"/>
        <v>Liberica-Light-0.2</v>
      </c>
      <c r="F9" s="2">
        <v>1</v>
      </c>
      <c r="G9" s="2" t="str" cm="1">
        <f t="array" ref="G9">_xlfn.XLOOKUP(C9, customers!$A$1:A1008,customers!$B$1:B1008,,0)</f>
        <v>Melvin Wharfe</v>
      </c>
      <c r="H9" s="2" t="str" cm="1">
        <f t="array" ref="H9">IF(_xlfn.XLOOKUP(C9,customers!$A$1:A1008,customers!$C$1:C1008,,0) = 0,"", _xlfn.XLOOKUP(C9,customers!$A$1:A1008,customers!$C$1:C1008,,0))</f>
        <v/>
      </c>
      <c r="I9" s="2" t="str">
        <f>_xlfn.XLOOKUP(C9,customers!$A$1:$A$1001,customers!$G$1:$G$1001,,0)</f>
        <v>Ireland</v>
      </c>
      <c r="J9" s="2" t="str">
        <f>_xlfn.XLOOKUP(Orders[[#This Row],[Customer ID]],customers!$A$1:$A$1001,customers!$F$1:$F$1001,,0)</f>
        <v>Kill</v>
      </c>
      <c r="K9" t="str">
        <f>INDEX(products!$A$1:$G$49,MATCH(orders!$D9,products!$A$1:$A$49,0),MATCH(orders!K$1,products!$A$1:$G$1,0))</f>
        <v>Lib</v>
      </c>
      <c r="L9" t="str">
        <f>INDEX(products!$A$1:$G$49,MATCH(orders!$D9,products!$A$1:$A$49,0),MATCH(orders!L$1,products!$A$1:$G$1,0))</f>
        <v>L</v>
      </c>
      <c r="M9" s="14">
        <f>INDEX(products!$A$1:$G$49,MATCH(orders!$D9,products!$A$1:$A$49,0),MATCH(orders!M$1,products!$A$1:$G$1,0))</f>
        <v>0.2</v>
      </c>
      <c r="N9" s="4">
        <f>INDEX(products!$A$1:$G$49,MATCH(orders!$D9,products!$A$1:$A$49,0),MATCH(orders!N$1,products!$A$1:$G$1,0))</f>
        <v>4.7549999999999999</v>
      </c>
      <c r="O9" s="13">
        <f t="shared" si="0"/>
        <v>4.7549999999999999</v>
      </c>
      <c r="P9" s="13">
        <f>_xlfn.XLOOKUP(Orders[[#This Row],[Product ID]],products!$A$1:$A$49,products!$G$1:$G$49,,0)</f>
        <v>0.61814999999999998</v>
      </c>
      <c r="Q9" s="13">
        <f t="shared" si="1"/>
        <v>0.61814999999999998</v>
      </c>
      <c r="R9" t="str">
        <f t="shared" si="2"/>
        <v>Liberica</v>
      </c>
      <c r="S9" t="str">
        <f t="shared" si="3"/>
        <v>Light</v>
      </c>
      <c r="T9" t="str">
        <f>_xlfn.XLOOKUP(Orders[[#This Row],[Customer ID]],customers!$A$1:$A$1001,customers!$I$1:$I$1001,,0)</f>
        <v>Yes</v>
      </c>
    </row>
    <row r="10" spans="1:24" x14ac:dyDescent="0.35">
      <c r="A10" s="2" t="s">
        <v>535</v>
      </c>
      <c r="B10" s="3">
        <v>43467</v>
      </c>
      <c r="C10" s="2" t="s">
        <v>536</v>
      </c>
      <c r="D10" t="s">
        <v>6146</v>
      </c>
      <c r="E10" t="str">
        <f t="shared" si="4"/>
        <v>Robusta-Medium-0.5</v>
      </c>
      <c r="F10" s="2">
        <v>3</v>
      </c>
      <c r="G10" s="2" t="str" cm="1">
        <f t="array" ref="G10">_xlfn.XLOOKUP(C10, customers!$A$1:A1009,customers!$B$1:B1009,,0)</f>
        <v>Guthrey Petracci</v>
      </c>
      <c r="H10" s="2" t="str" cm="1">
        <f t="array" ref="H10">IF(_xlfn.XLOOKUP(C10,customers!$A$1:A1009,customers!$C$1:C1009,,0) = 0,"", _xlfn.XLOOKUP(C10,customers!$A$1:A1009,customers!$C$1:C1009,,0))</f>
        <v>gpetracci8@livejournal.com</v>
      </c>
      <c r="I10" s="2" t="str">
        <f>_xlfn.XLOOKUP(C10,customers!$A$1:$A$1001,customers!$G$1:$G$1001,,0)</f>
        <v>United States</v>
      </c>
      <c r="J10" s="2" t="str">
        <f>_xlfn.XLOOKUP(Orders[[#This Row],[Customer ID]],customers!$A$1:$A$1001,customers!$F$1:$F$1001,,0)</f>
        <v>Los Angeles</v>
      </c>
      <c r="K10" t="str">
        <f>INDEX(products!$A$1:$G$49,MATCH(orders!$D10,products!$A$1:$A$49,0),MATCH(orders!K$1,products!$A$1:$G$1,0))</f>
        <v>Rob</v>
      </c>
      <c r="L10" t="str">
        <f>INDEX(products!$A$1:$G$49,MATCH(orders!$D10,products!$A$1:$A$49,0),MATCH(orders!L$1,products!$A$1:$G$1,0))</f>
        <v>M</v>
      </c>
      <c r="M10" s="14">
        <f>INDEX(products!$A$1:$G$49,MATCH(orders!$D10,products!$A$1:$A$49,0),MATCH(orders!M$1,products!$A$1:$G$1,0))</f>
        <v>0.5</v>
      </c>
      <c r="N10" s="4">
        <f>INDEX(products!$A$1:$G$49,MATCH(orders!$D10,products!$A$1:$A$49,0),MATCH(orders!N$1,products!$A$1:$G$1,0))</f>
        <v>5.97</v>
      </c>
      <c r="O10" s="13">
        <f t="shared" si="0"/>
        <v>17.91</v>
      </c>
      <c r="P10" s="13">
        <f>_xlfn.XLOOKUP(Orders[[#This Row],[Product ID]],products!$A$1:$A$49,products!$G$1:$G$49,,0)</f>
        <v>0.35819999999999996</v>
      </c>
      <c r="Q10" s="13">
        <f t="shared" si="1"/>
        <v>1.0745999999999998</v>
      </c>
      <c r="R10" t="str">
        <f t="shared" si="2"/>
        <v>Robusta</v>
      </c>
      <c r="S10" t="str">
        <f t="shared" si="3"/>
        <v>Medium</v>
      </c>
      <c r="T10" t="str">
        <f>_xlfn.XLOOKUP(Orders[[#This Row],[Customer ID]],customers!$A$1:$A$1001,customers!$I$1:$I$1001,,0)</f>
        <v>No</v>
      </c>
      <c r="W10" t="s">
        <v>6238</v>
      </c>
      <c r="X10">
        <f>MAX(Orders[Sales])</f>
        <v>218.73</v>
      </c>
    </row>
    <row r="11" spans="1:24" x14ac:dyDescent="0.35">
      <c r="A11" s="2" t="s">
        <v>541</v>
      </c>
      <c r="B11" s="3">
        <v>43713</v>
      </c>
      <c r="C11" s="2" t="s">
        <v>542</v>
      </c>
      <c r="D11" t="s">
        <v>6146</v>
      </c>
      <c r="E11" t="str">
        <f t="shared" si="4"/>
        <v>Robusta-Medium-0.5</v>
      </c>
      <c r="F11" s="2">
        <v>1</v>
      </c>
      <c r="G11" s="2" t="str" cm="1">
        <f t="array" ref="G11">_xlfn.XLOOKUP(C11, customers!$A$1:A1010,customers!$B$1:B1010,,0)</f>
        <v>Rodger Raven</v>
      </c>
      <c r="H11" s="2" t="str" cm="1">
        <f t="array" ref="H11">IF(_xlfn.XLOOKUP(C11,customers!$A$1:A1010,customers!$C$1:C1010,,0) = 0,"", _xlfn.XLOOKUP(C11,customers!$A$1:A1010,customers!$C$1:C1010,,0))</f>
        <v>rraven9@ed.gov</v>
      </c>
      <c r="I11" s="2" t="str">
        <f>_xlfn.XLOOKUP(C11,customers!$A$1:$A$1001,customers!$G$1:$G$1001,,0)</f>
        <v>United States</v>
      </c>
      <c r="J11" s="2" t="str">
        <f>_xlfn.XLOOKUP(Orders[[#This Row],[Customer ID]],customers!$A$1:$A$1001,customers!$F$1:$F$1001,,0)</f>
        <v>Los Angeles</v>
      </c>
      <c r="K11" t="str">
        <f>INDEX(products!$A$1:$G$49,MATCH(orders!$D11,products!$A$1:$A$49,0),MATCH(orders!K$1,products!$A$1:$G$1,0))</f>
        <v>Rob</v>
      </c>
      <c r="L11" t="str">
        <f>INDEX(products!$A$1:$G$49,MATCH(orders!$D11,products!$A$1:$A$49,0),MATCH(orders!L$1,products!$A$1:$G$1,0))</f>
        <v>M</v>
      </c>
      <c r="M11" s="14">
        <f>INDEX(products!$A$1:$G$49,MATCH(orders!$D11,products!$A$1:$A$49,0),MATCH(orders!M$1,products!$A$1:$G$1,0))</f>
        <v>0.5</v>
      </c>
      <c r="N11" s="4">
        <f>INDEX(products!$A$1:$G$49,MATCH(orders!$D11,products!$A$1:$A$49,0),MATCH(orders!N$1,products!$A$1:$G$1,0))</f>
        <v>5.97</v>
      </c>
      <c r="O11" s="13">
        <f t="shared" si="0"/>
        <v>5.97</v>
      </c>
      <c r="P11" s="13">
        <f>_xlfn.XLOOKUP(Orders[[#This Row],[Product ID]],products!$A$1:$A$49,products!$G$1:$G$49,,0)</f>
        <v>0.35819999999999996</v>
      </c>
      <c r="Q11" s="13">
        <f t="shared" si="1"/>
        <v>0.35819999999999996</v>
      </c>
      <c r="R11" t="str">
        <f t="shared" si="2"/>
        <v>Robusta</v>
      </c>
      <c r="S11" t="str">
        <f t="shared" si="3"/>
        <v>Medium</v>
      </c>
      <c r="T11" t="str">
        <f>_xlfn.XLOOKUP(Orders[[#This Row],[Customer ID]],customers!$A$1:$A$1001,customers!$I$1:$I$1001,,0)</f>
        <v>No</v>
      </c>
      <c r="W11" t="s">
        <v>6239</v>
      </c>
      <c r="X11">
        <f>MIN(Orders[Sales])</f>
        <v>2.6849999999999996</v>
      </c>
    </row>
    <row r="12" spans="1:24" x14ac:dyDescent="0.35">
      <c r="A12" s="2" t="s">
        <v>547</v>
      </c>
      <c r="B12" s="3">
        <v>44263</v>
      </c>
      <c r="C12" s="2" t="s">
        <v>548</v>
      </c>
      <c r="D12" t="s">
        <v>6147</v>
      </c>
      <c r="E12" t="str">
        <f t="shared" si="4"/>
        <v>Arabica-Dark-1</v>
      </c>
      <c r="F12" s="2">
        <v>4</v>
      </c>
      <c r="G12" s="2" t="str" cm="1">
        <f t="array" ref="G12">_xlfn.XLOOKUP(C12, customers!$A$1:A1011,customers!$B$1:B1011,,0)</f>
        <v>Ferrell Ferber</v>
      </c>
      <c r="H12" s="2" t="str" cm="1">
        <f t="array" ref="H12">IF(_xlfn.XLOOKUP(C12,customers!$A$1:A1011,customers!$C$1:C1011,,0) = 0,"", _xlfn.XLOOKUP(C12,customers!$A$1:A1011,customers!$C$1:C1011,,0))</f>
        <v>fferbera@businesswire.com</v>
      </c>
      <c r="I12" s="2" t="str">
        <f>_xlfn.XLOOKUP(C12,customers!$A$1:$A$1001,customers!$G$1:$G$1001,,0)</f>
        <v>United States</v>
      </c>
      <c r="J12" s="2" t="str">
        <f>_xlfn.XLOOKUP(Orders[[#This Row],[Customer ID]],customers!$A$1:$A$1001,customers!$F$1:$F$1001,,0)</f>
        <v>San Jose</v>
      </c>
      <c r="K12" t="str">
        <f>INDEX(products!$A$1:$G$49,MATCH(orders!$D12,products!$A$1:$A$49,0),MATCH(orders!K$1,products!$A$1:$G$1,0))</f>
        <v>Ara</v>
      </c>
      <c r="L12" t="str">
        <f>INDEX(products!$A$1:$G$49,MATCH(orders!$D12,products!$A$1:$A$49,0),MATCH(orders!L$1,products!$A$1:$G$1,0))</f>
        <v>D</v>
      </c>
      <c r="M12" s="14">
        <f>INDEX(products!$A$1:$G$49,MATCH(orders!$D12,products!$A$1:$A$49,0),MATCH(orders!M$1,products!$A$1:$G$1,0))</f>
        <v>1</v>
      </c>
      <c r="N12" s="4">
        <f>INDEX(products!$A$1:$G$49,MATCH(orders!$D12,products!$A$1:$A$49,0),MATCH(orders!N$1,products!$A$1:$G$1,0))</f>
        <v>9.9499999999999993</v>
      </c>
      <c r="O12" s="13">
        <f t="shared" si="0"/>
        <v>39.799999999999997</v>
      </c>
      <c r="P12" s="13">
        <f>_xlfn.XLOOKUP(Orders[[#This Row],[Product ID]],products!$A$1:$A$49,products!$G$1:$G$49,,0)</f>
        <v>0.89549999999999985</v>
      </c>
      <c r="Q12" s="13">
        <f t="shared" si="1"/>
        <v>3.5819999999999994</v>
      </c>
      <c r="R12" t="str">
        <f t="shared" si="2"/>
        <v>Arabica</v>
      </c>
      <c r="S12" t="str">
        <f t="shared" si="3"/>
        <v>Dark</v>
      </c>
      <c r="T12" t="str">
        <f>_xlfn.XLOOKUP(Orders[[#This Row],[Customer ID]],customers!$A$1:$A$1001,customers!$I$1:$I$1001,,0)</f>
        <v>No</v>
      </c>
      <c r="W12" t="s">
        <v>6240</v>
      </c>
      <c r="X12">
        <f>MAX(Orders[Unit Price])</f>
        <v>36.454999999999998</v>
      </c>
    </row>
    <row r="13" spans="1:24" x14ac:dyDescent="0.35">
      <c r="A13" s="2" t="s">
        <v>553</v>
      </c>
      <c r="B13" s="3">
        <v>44132</v>
      </c>
      <c r="C13" s="2" t="s">
        <v>554</v>
      </c>
      <c r="D13" t="s">
        <v>6148</v>
      </c>
      <c r="E13" t="str">
        <f t="shared" si="4"/>
        <v>Excelsa-Light-2.5</v>
      </c>
      <c r="F13" s="2">
        <v>5</v>
      </c>
      <c r="G13" s="2" t="str" cm="1">
        <f t="array" ref="G13">_xlfn.XLOOKUP(C13, customers!$A$1:A1012,customers!$B$1:B1012,,0)</f>
        <v>Duky Phizackerly</v>
      </c>
      <c r="H13" s="2" t="str" cm="1">
        <f t="array" ref="H13">IF(_xlfn.XLOOKUP(C13,customers!$A$1:A1012,customers!$C$1:C1012,,0) = 0,"", _xlfn.XLOOKUP(C13,customers!$A$1:A1012,customers!$C$1:C1012,,0))</f>
        <v>dphizackerlyb@utexas.edu</v>
      </c>
      <c r="I13" s="2" t="str">
        <f>_xlfn.XLOOKUP(C13,customers!$A$1:$A$1001,customers!$G$1:$G$1001,,0)</f>
        <v>United States</v>
      </c>
      <c r="J13" s="2" t="str">
        <f>_xlfn.XLOOKUP(Orders[[#This Row],[Customer ID]],customers!$A$1:$A$1001,customers!$F$1:$F$1001,,0)</f>
        <v>San Jose</v>
      </c>
      <c r="K13" t="str">
        <f>INDEX(products!$A$1:$G$49,MATCH(orders!$D13,products!$A$1:$A$49,0),MATCH(orders!K$1,products!$A$1:$G$1,0))</f>
        <v>Exc</v>
      </c>
      <c r="L13" t="str">
        <f>INDEX(products!$A$1:$G$49,MATCH(orders!$D13,products!$A$1:$A$49,0),MATCH(orders!L$1,products!$A$1:$G$1,0))</f>
        <v>L</v>
      </c>
      <c r="M13" s="14">
        <f>INDEX(products!$A$1:$G$49,MATCH(orders!$D13,products!$A$1:$A$49,0),MATCH(orders!M$1,products!$A$1:$G$1,0))</f>
        <v>2.5</v>
      </c>
      <c r="N13" s="4">
        <f>INDEX(products!$A$1:$G$49,MATCH(orders!$D13,products!$A$1:$A$49,0),MATCH(orders!N$1,products!$A$1:$G$1,0))</f>
        <v>34.154999999999994</v>
      </c>
      <c r="O13" s="13">
        <f t="shared" si="0"/>
        <v>170.77499999999998</v>
      </c>
      <c r="P13" s="13">
        <f>_xlfn.XLOOKUP(Orders[[#This Row],[Product ID]],products!$A$1:$A$49,products!$G$1:$G$49,,0)</f>
        <v>3.7570499999999996</v>
      </c>
      <c r="Q13" s="13">
        <f t="shared" si="1"/>
        <v>18.785249999999998</v>
      </c>
      <c r="R13" t="str">
        <f t="shared" si="2"/>
        <v>Execelsa</v>
      </c>
      <c r="S13" t="str">
        <f t="shared" si="3"/>
        <v>Light</v>
      </c>
      <c r="T13" t="str">
        <f>_xlfn.XLOOKUP(Orders[[#This Row],[Customer ID]],customers!$A$1:$A$1001,customers!$I$1:$I$1001,,0)</f>
        <v>Yes</v>
      </c>
      <c r="W13" t="s">
        <v>6241</v>
      </c>
      <c r="X13">
        <f>MIN(Orders[Unit Price])</f>
        <v>2.6849999999999996</v>
      </c>
    </row>
    <row r="14" spans="1:24" x14ac:dyDescent="0.35">
      <c r="A14" s="2" t="s">
        <v>559</v>
      </c>
      <c r="B14" s="3">
        <v>44744</v>
      </c>
      <c r="C14" s="2" t="s">
        <v>560</v>
      </c>
      <c r="D14" t="s">
        <v>6138</v>
      </c>
      <c r="E14" t="str">
        <f t="shared" si="4"/>
        <v>Robusta-Medium-1</v>
      </c>
      <c r="F14" s="2">
        <v>5</v>
      </c>
      <c r="G14" s="2" t="str" cm="1">
        <f t="array" ref="G14">_xlfn.XLOOKUP(C14, customers!$A$1:A1013,customers!$B$1:B1013,,0)</f>
        <v>Rosaleen Scholar</v>
      </c>
      <c r="H14" s="2" t="str" cm="1">
        <f t="array" ref="H14">IF(_xlfn.XLOOKUP(C14,customers!$A$1:A1013,customers!$C$1:C1013,,0) = 0,"", _xlfn.XLOOKUP(C14,customers!$A$1:A1013,customers!$C$1:C1013,,0))</f>
        <v>rscholarc@nyu.edu</v>
      </c>
      <c r="I14" s="2" t="str">
        <f>_xlfn.XLOOKUP(C14,customers!$A$1:$A$1001,customers!$G$1:$G$1001,,0)</f>
        <v>United States</v>
      </c>
      <c r="J14" s="2" t="str">
        <f>_xlfn.XLOOKUP(Orders[[#This Row],[Customer ID]],customers!$A$1:$A$1001,customers!$F$1:$F$1001,,0)</f>
        <v>Richmond</v>
      </c>
      <c r="K14" t="str">
        <f>INDEX(products!$A$1:$G$49,MATCH(orders!$D14,products!$A$1:$A$49,0),MATCH(orders!K$1,products!$A$1:$G$1,0))</f>
        <v>Rob</v>
      </c>
      <c r="L14" t="str">
        <f>INDEX(products!$A$1:$G$49,MATCH(orders!$D14,products!$A$1:$A$49,0),MATCH(orders!L$1,products!$A$1:$G$1,0))</f>
        <v>M</v>
      </c>
      <c r="M14" s="14">
        <f>INDEX(products!$A$1:$G$49,MATCH(orders!$D14,products!$A$1:$A$49,0),MATCH(orders!M$1,products!$A$1:$G$1,0))</f>
        <v>1</v>
      </c>
      <c r="N14" s="4">
        <f>INDEX(products!$A$1:$G$49,MATCH(orders!$D14,products!$A$1:$A$49,0),MATCH(orders!N$1,products!$A$1:$G$1,0))</f>
        <v>9.9499999999999993</v>
      </c>
      <c r="O14" s="13">
        <f t="shared" si="0"/>
        <v>49.75</v>
      </c>
      <c r="P14" s="13">
        <f>_xlfn.XLOOKUP(Orders[[#This Row],[Product ID]],products!$A$1:$A$49,products!$G$1:$G$49,,0)</f>
        <v>0.59699999999999998</v>
      </c>
      <c r="Q14" s="13">
        <f t="shared" si="1"/>
        <v>2.9849999999999999</v>
      </c>
      <c r="R14" t="str">
        <f t="shared" si="2"/>
        <v>Robusta</v>
      </c>
      <c r="S14" t="str">
        <f t="shared" si="3"/>
        <v>Medium</v>
      </c>
      <c r="T14" t="str">
        <f>_xlfn.XLOOKUP(Orders[[#This Row],[Customer ID]],customers!$A$1:$A$1001,customers!$I$1:$I$1001,,0)</f>
        <v>No</v>
      </c>
      <c r="W14" t="s">
        <v>6242</v>
      </c>
      <c r="X14">
        <f>MAX(products!G2:G49)</f>
        <v>4.7391499999999995</v>
      </c>
    </row>
    <row r="15" spans="1:24" x14ac:dyDescent="0.35">
      <c r="A15" s="2" t="s">
        <v>565</v>
      </c>
      <c r="B15" s="3">
        <v>43973</v>
      </c>
      <c r="C15" s="2" t="s">
        <v>566</v>
      </c>
      <c r="D15" t="s">
        <v>6149</v>
      </c>
      <c r="E15" t="str">
        <f t="shared" si="4"/>
        <v>Robusta-Dark-2.5</v>
      </c>
      <c r="F15" s="2">
        <v>2</v>
      </c>
      <c r="G15" s="2" t="str" cm="1">
        <f t="array" ref="G15">_xlfn.XLOOKUP(C15, customers!$A$1:A1014,customers!$B$1:B1014,,0)</f>
        <v>Terence Vanyutin</v>
      </c>
      <c r="H15" s="2" t="str" cm="1">
        <f t="array" ref="H15">IF(_xlfn.XLOOKUP(C15,customers!$A$1:A1014,customers!$C$1:C1014,,0) = 0,"", _xlfn.XLOOKUP(C15,customers!$A$1:A1014,customers!$C$1:C1014,,0))</f>
        <v>tvanyutind@wix.com</v>
      </c>
      <c r="I15" s="2" t="str">
        <f>_xlfn.XLOOKUP(C15,customers!$A$1:$A$1001,customers!$G$1:$G$1001,,0)</f>
        <v>United States</v>
      </c>
      <c r="J15" s="2" t="str">
        <f>_xlfn.XLOOKUP(Orders[[#This Row],[Customer ID]],customers!$A$1:$A$1001,customers!$F$1:$F$1001,,0)</f>
        <v>Migrate</v>
      </c>
      <c r="K15" t="str">
        <f>INDEX(products!$A$1:$G$49,MATCH(orders!$D15,products!$A$1:$A$49,0),MATCH(orders!K$1,products!$A$1:$G$1,0))</f>
        <v>Rob</v>
      </c>
      <c r="L15" t="str">
        <f>INDEX(products!$A$1:$G$49,MATCH(orders!$D15,products!$A$1:$A$49,0),MATCH(orders!L$1,products!$A$1:$G$1,0))</f>
        <v>D</v>
      </c>
      <c r="M15" s="14">
        <f>INDEX(products!$A$1:$G$49,MATCH(orders!$D15,products!$A$1:$A$49,0),MATCH(orders!M$1,products!$A$1:$G$1,0))</f>
        <v>2.5</v>
      </c>
      <c r="N15" s="4">
        <f>INDEX(products!$A$1:$G$49,MATCH(orders!$D15,products!$A$1:$A$49,0),MATCH(orders!N$1,products!$A$1:$G$1,0))</f>
        <v>20.584999999999997</v>
      </c>
      <c r="O15" s="13">
        <f t="shared" si="0"/>
        <v>41.169999999999995</v>
      </c>
      <c r="P15" s="13">
        <f>_xlfn.XLOOKUP(Orders[[#This Row],[Product ID]],products!$A$1:$A$49,products!$G$1:$G$49,,0)</f>
        <v>1.2350999999999999</v>
      </c>
      <c r="Q15" s="13">
        <f t="shared" si="1"/>
        <v>2.4701999999999997</v>
      </c>
      <c r="R15" t="str">
        <f t="shared" si="2"/>
        <v>Robusta</v>
      </c>
      <c r="S15" t="str">
        <f t="shared" si="3"/>
        <v>Dark</v>
      </c>
      <c r="T15" t="str">
        <f>_xlfn.XLOOKUP(Orders[[#This Row],[Customer ID]],customers!$A$1:$A$1001,customers!$I$1:$I$1001,,0)</f>
        <v>No</v>
      </c>
      <c r="W15" t="s">
        <v>6243</v>
      </c>
      <c r="X15">
        <f>MIN(products!G2:G49)</f>
        <v>0.16109999999999997</v>
      </c>
    </row>
    <row r="16" spans="1:24" x14ac:dyDescent="0.35">
      <c r="A16" s="2" t="s">
        <v>570</v>
      </c>
      <c r="B16" s="3">
        <v>44656</v>
      </c>
      <c r="C16" s="2" t="s">
        <v>571</v>
      </c>
      <c r="D16" t="s">
        <v>6150</v>
      </c>
      <c r="E16" t="str">
        <f t="shared" si="4"/>
        <v>Liberica-Dark-0.2</v>
      </c>
      <c r="F16" s="2">
        <v>3</v>
      </c>
      <c r="G16" s="2" t="str" cm="1">
        <f t="array" ref="G16">_xlfn.XLOOKUP(C16, customers!$A$1:A1015,customers!$B$1:B1015,,0)</f>
        <v>Patrice Trobe</v>
      </c>
      <c r="H16" s="2" t="str" cm="1">
        <f t="array" ref="H16">IF(_xlfn.XLOOKUP(C16,customers!$A$1:A1015,customers!$C$1:C1015,,0) = 0,"", _xlfn.XLOOKUP(C16,customers!$A$1:A1015,customers!$C$1:C1015,,0))</f>
        <v>ptrobee@wunderground.com</v>
      </c>
      <c r="I16" s="2" t="str">
        <f>_xlfn.XLOOKUP(C16,customers!$A$1:$A$1001,customers!$G$1:$G$1001,,0)</f>
        <v>United States</v>
      </c>
      <c r="J16" s="2" t="str">
        <f>_xlfn.XLOOKUP(Orders[[#This Row],[Customer ID]],customers!$A$1:$A$1001,customers!$F$1:$F$1001,,0)</f>
        <v>Saint Louis</v>
      </c>
      <c r="K16" t="str">
        <f>INDEX(products!$A$1:$G$49,MATCH(orders!$D16,products!$A$1:$A$49,0),MATCH(orders!K$1,products!$A$1:$G$1,0))</f>
        <v>Lib</v>
      </c>
      <c r="L16" t="str">
        <f>INDEX(products!$A$1:$G$49,MATCH(orders!$D16,products!$A$1:$A$49,0),MATCH(orders!L$1,products!$A$1:$G$1,0))</f>
        <v>D</v>
      </c>
      <c r="M16" s="14">
        <f>INDEX(products!$A$1:$G$49,MATCH(orders!$D16,products!$A$1:$A$49,0),MATCH(orders!M$1,products!$A$1:$G$1,0))</f>
        <v>0.2</v>
      </c>
      <c r="N16" s="4">
        <f>INDEX(products!$A$1:$G$49,MATCH(orders!$D16,products!$A$1:$A$49,0),MATCH(orders!N$1,products!$A$1:$G$1,0))</f>
        <v>3.8849999999999998</v>
      </c>
      <c r="O16" s="13">
        <f t="shared" si="0"/>
        <v>11.654999999999999</v>
      </c>
      <c r="P16" s="13">
        <f>_xlfn.XLOOKUP(Orders[[#This Row],[Product ID]],products!$A$1:$A$49,products!$G$1:$G$49,,0)</f>
        <v>0.50505</v>
      </c>
      <c r="Q16" s="13">
        <f t="shared" si="1"/>
        <v>1.51515</v>
      </c>
      <c r="R16" t="str">
        <f t="shared" si="2"/>
        <v>Liberica</v>
      </c>
      <c r="S16" t="str">
        <f t="shared" si="3"/>
        <v>Dark</v>
      </c>
      <c r="T16" t="str">
        <f>_xlfn.XLOOKUP(Orders[[#This Row],[Customer ID]],customers!$A$1:$A$1001,customers!$I$1:$I$1001,,0)</f>
        <v>Yes</v>
      </c>
    </row>
    <row r="17" spans="1:20" x14ac:dyDescent="0.35">
      <c r="A17" s="2" t="s">
        <v>576</v>
      </c>
      <c r="B17" s="3">
        <v>44719</v>
      </c>
      <c r="C17" s="2" t="s">
        <v>577</v>
      </c>
      <c r="D17" t="s">
        <v>6151</v>
      </c>
      <c r="E17" t="str">
        <f t="shared" si="4"/>
        <v>Robusta-Medium-2.5</v>
      </c>
      <c r="F17" s="2">
        <v>5</v>
      </c>
      <c r="G17" s="2" t="str" cm="1">
        <f t="array" ref="G17">_xlfn.XLOOKUP(C17, customers!$A$1:A1016,customers!$B$1:B1016,,0)</f>
        <v>Llywellyn Oscroft</v>
      </c>
      <c r="H17" s="2" t="str" cm="1">
        <f t="array" ref="H17">IF(_xlfn.XLOOKUP(C17,customers!$A$1:A1016,customers!$C$1:C1016,,0) = 0,"", _xlfn.XLOOKUP(C17,customers!$A$1:A1016,customers!$C$1:C1016,,0))</f>
        <v>loscroftf@ebay.co.uk</v>
      </c>
      <c r="I17" s="2" t="str">
        <f>_xlfn.XLOOKUP(C17,customers!$A$1:$A$1001,customers!$G$1:$G$1001,,0)</f>
        <v>United States</v>
      </c>
      <c r="J17" s="2" t="str">
        <f>_xlfn.XLOOKUP(Orders[[#This Row],[Customer ID]],customers!$A$1:$A$1001,customers!$F$1:$F$1001,,0)</f>
        <v>Philadelphia</v>
      </c>
      <c r="K17" t="str">
        <f>INDEX(products!$A$1:$G$49,MATCH(orders!$D17,products!$A$1:$A$49,0),MATCH(orders!K$1,products!$A$1:$G$1,0))</f>
        <v>Rob</v>
      </c>
      <c r="L17" t="str">
        <f>INDEX(products!$A$1:$G$49,MATCH(orders!$D17,products!$A$1:$A$49,0),MATCH(orders!L$1,products!$A$1:$G$1,0))</f>
        <v>M</v>
      </c>
      <c r="M17" s="14">
        <f>INDEX(products!$A$1:$G$49,MATCH(orders!$D17,products!$A$1:$A$49,0),MATCH(orders!M$1,products!$A$1:$G$1,0))</f>
        <v>2.5</v>
      </c>
      <c r="N17" s="4">
        <f>INDEX(products!$A$1:$G$49,MATCH(orders!$D17,products!$A$1:$A$49,0),MATCH(orders!N$1,products!$A$1:$G$1,0))</f>
        <v>22.884999999999998</v>
      </c>
      <c r="O17" s="13">
        <f t="shared" si="0"/>
        <v>114.42499999999998</v>
      </c>
      <c r="P17" s="13">
        <f>_xlfn.XLOOKUP(Orders[[#This Row],[Product ID]],products!$A$1:$A$49,products!$G$1:$G$49,,0)</f>
        <v>1.3730999999999998</v>
      </c>
      <c r="Q17" s="13">
        <f t="shared" si="1"/>
        <v>6.865499999999999</v>
      </c>
      <c r="R17" t="str">
        <f t="shared" si="2"/>
        <v>Robusta</v>
      </c>
      <c r="S17" t="str">
        <f t="shared" si="3"/>
        <v>Medium</v>
      </c>
      <c r="T17" t="str">
        <f>_xlfn.XLOOKUP(Orders[[#This Row],[Customer ID]],customers!$A$1:$A$1001,customers!$I$1:$I$1001,,0)</f>
        <v>No</v>
      </c>
    </row>
    <row r="18" spans="1:20" x14ac:dyDescent="0.35">
      <c r="A18" s="2" t="s">
        <v>581</v>
      </c>
      <c r="B18" s="3">
        <v>43544</v>
      </c>
      <c r="C18" s="2" t="s">
        <v>582</v>
      </c>
      <c r="D18" t="s">
        <v>6152</v>
      </c>
      <c r="E18" t="str">
        <f t="shared" si="4"/>
        <v>Arabica-Medium-0.2</v>
      </c>
      <c r="F18" s="2">
        <v>6</v>
      </c>
      <c r="G18" s="2" t="str" cm="1">
        <f t="array" ref="G18">_xlfn.XLOOKUP(C18, customers!$A$1:A1017,customers!$B$1:B1017,,0)</f>
        <v>Minni Alabaster</v>
      </c>
      <c r="H18" s="2" t="str" cm="1">
        <f t="array" ref="H18">IF(_xlfn.XLOOKUP(C18,customers!$A$1:A1017,customers!$C$1:C1017,,0) = 0,"", _xlfn.XLOOKUP(C18,customers!$A$1:A1017,customers!$C$1:C1017,,0))</f>
        <v>malabasterg@hexun.com</v>
      </c>
      <c r="I18" s="2" t="str">
        <f>_xlfn.XLOOKUP(C18,customers!$A$1:$A$1001,customers!$G$1:$G$1001,,0)</f>
        <v>United States</v>
      </c>
      <c r="J18" s="2" t="str">
        <f>_xlfn.XLOOKUP(Orders[[#This Row],[Customer ID]],customers!$A$1:$A$1001,customers!$F$1:$F$1001,,0)</f>
        <v>Portland</v>
      </c>
      <c r="K18" t="str">
        <f>INDEX(products!$A$1:$G$49,MATCH(orders!$D18,products!$A$1:$A$49,0),MATCH(orders!K$1,products!$A$1:$G$1,0))</f>
        <v>Ara</v>
      </c>
      <c r="L18" t="str">
        <f>INDEX(products!$A$1:$G$49,MATCH(orders!$D18,products!$A$1:$A$49,0),MATCH(orders!L$1,products!$A$1:$G$1,0))</f>
        <v>M</v>
      </c>
      <c r="M18" s="14">
        <f>INDEX(products!$A$1:$G$49,MATCH(orders!$D18,products!$A$1:$A$49,0),MATCH(orders!M$1,products!$A$1:$G$1,0))</f>
        <v>0.2</v>
      </c>
      <c r="N18" s="4">
        <f>INDEX(products!$A$1:$G$49,MATCH(orders!$D18,products!$A$1:$A$49,0),MATCH(orders!N$1,products!$A$1:$G$1,0))</f>
        <v>3.375</v>
      </c>
      <c r="O18" s="13">
        <f t="shared" si="0"/>
        <v>20.25</v>
      </c>
      <c r="P18" s="13">
        <f>_xlfn.XLOOKUP(Orders[[#This Row],[Product ID]],products!$A$1:$A$49,products!$G$1:$G$49,,0)</f>
        <v>0.30374999999999996</v>
      </c>
      <c r="Q18" s="13">
        <f t="shared" si="1"/>
        <v>1.8224999999999998</v>
      </c>
      <c r="R18" t="str">
        <f t="shared" si="2"/>
        <v>Arabica</v>
      </c>
      <c r="S18" t="str">
        <f t="shared" si="3"/>
        <v>Medium</v>
      </c>
      <c r="T18" t="str">
        <f>_xlfn.XLOOKUP(Orders[[#This Row],[Customer ID]],customers!$A$1:$A$1001,customers!$I$1:$I$1001,,0)</f>
        <v>No</v>
      </c>
    </row>
    <row r="19" spans="1:20" x14ac:dyDescent="0.35">
      <c r="A19" s="2" t="s">
        <v>587</v>
      </c>
      <c r="B19" s="3">
        <v>43757</v>
      </c>
      <c r="C19" s="2" t="s">
        <v>588</v>
      </c>
      <c r="D19" t="s">
        <v>6140</v>
      </c>
      <c r="E19" t="str">
        <f t="shared" si="4"/>
        <v>Arabica-Light-1</v>
      </c>
      <c r="F19" s="2">
        <v>6</v>
      </c>
      <c r="G19" s="2" t="str" cm="1">
        <f t="array" ref="G19">_xlfn.XLOOKUP(C19, customers!$A$1:A1018,customers!$B$1:B1018,,0)</f>
        <v>Rhianon Broxup</v>
      </c>
      <c r="H19" s="2" t="str" cm="1">
        <f t="array" ref="H19">IF(_xlfn.XLOOKUP(C19,customers!$A$1:A1018,customers!$C$1:C1018,,0) = 0,"", _xlfn.XLOOKUP(C19,customers!$A$1:A1018,customers!$C$1:C1018,,0))</f>
        <v>rbroxuph@jimdo.com</v>
      </c>
      <c r="I19" s="2" t="str">
        <f>_xlfn.XLOOKUP(C19,customers!$A$1:$A$1001,customers!$G$1:$G$1001,,0)</f>
        <v>United States</v>
      </c>
      <c r="J19" s="2" t="str">
        <f>_xlfn.XLOOKUP(Orders[[#This Row],[Customer ID]],customers!$A$1:$A$1001,customers!$F$1:$F$1001,,0)</f>
        <v>Houston</v>
      </c>
      <c r="K19" t="str">
        <f>INDEX(products!$A$1:$G$49,MATCH(orders!$D19,products!$A$1:$A$49,0),MATCH(orders!K$1,products!$A$1:$G$1,0))</f>
        <v>Ara</v>
      </c>
      <c r="L19" t="str">
        <f>INDEX(products!$A$1:$G$49,MATCH(orders!$D19,products!$A$1:$A$49,0),MATCH(orders!L$1,products!$A$1:$G$1,0))</f>
        <v>L</v>
      </c>
      <c r="M19" s="14">
        <f>INDEX(products!$A$1:$G$49,MATCH(orders!$D19,products!$A$1:$A$49,0),MATCH(orders!M$1,products!$A$1:$G$1,0))</f>
        <v>1</v>
      </c>
      <c r="N19" s="4">
        <f>INDEX(products!$A$1:$G$49,MATCH(orders!$D19,products!$A$1:$A$49,0),MATCH(orders!N$1,products!$A$1:$G$1,0))</f>
        <v>12.95</v>
      </c>
      <c r="O19" s="13">
        <f t="shared" si="0"/>
        <v>77.699999999999989</v>
      </c>
      <c r="P19" s="13">
        <f>_xlfn.XLOOKUP(Orders[[#This Row],[Product ID]],products!$A$1:$A$49,products!$G$1:$G$49,,0)</f>
        <v>1.1655</v>
      </c>
      <c r="Q19" s="13">
        <f t="shared" si="1"/>
        <v>6.9930000000000003</v>
      </c>
      <c r="R19" t="str">
        <f t="shared" si="2"/>
        <v>Arabica</v>
      </c>
      <c r="S19" t="str">
        <f t="shared" si="3"/>
        <v>Light</v>
      </c>
      <c r="T19" t="str">
        <f>_xlfn.XLOOKUP(Orders[[#This Row],[Customer ID]],customers!$A$1:$A$1001,customers!$I$1:$I$1001,,0)</f>
        <v>No</v>
      </c>
    </row>
    <row r="20" spans="1:20" x14ac:dyDescent="0.35">
      <c r="A20" s="2" t="s">
        <v>593</v>
      </c>
      <c r="B20" s="3">
        <v>43629</v>
      </c>
      <c r="C20" s="2" t="s">
        <v>594</v>
      </c>
      <c r="D20" t="s">
        <v>6149</v>
      </c>
      <c r="E20" t="str">
        <f t="shared" si="4"/>
        <v>Robusta-Dark-2.5</v>
      </c>
      <c r="F20" s="2">
        <v>4</v>
      </c>
      <c r="G20" s="2" t="str" cm="1">
        <f t="array" ref="G20">_xlfn.XLOOKUP(C20, customers!$A$1:A1019,customers!$B$1:B1019,,0)</f>
        <v>Pall Redford</v>
      </c>
      <c r="H20" s="2" t="str" cm="1">
        <f t="array" ref="H20">IF(_xlfn.XLOOKUP(C20,customers!$A$1:A1019,customers!$C$1:C1019,,0) = 0,"", _xlfn.XLOOKUP(C20,customers!$A$1:A1019,customers!$C$1:C1019,,0))</f>
        <v>predfordi@ow.ly</v>
      </c>
      <c r="I20" s="2" t="str">
        <f>_xlfn.XLOOKUP(C20,customers!$A$1:$A$1001,customers!$G$1:$G$1001,,0)</f>
        <v>Ireland</v>
      </c>
      <c r="J20" s="2" t="str">
        <f>_xlfn.XLOOKUP(Orders[[#This Row],[Customer ID]],customers!$A$1:$A$1001,customers!$F$1:$F$1001,,0)</f>
        <v>Caherconlish</v>
      </c>
      <c r="K20" t="str">
        <f>INDEX(products!$A$1:$G$49,MATCH(orders!$D20,products!$A$1:$A$49,0),MATCH(orders!K$1,products!$A$1:$G$1,0))</f>
        <v>Rob</v>
      </c>
      <c r="L20" t="str">
        <f>INDEX(products!$A$1:$G$49,MATCH(orders!$D20,products!$A$1:$A$49,0),MATCH(orders!L$1,products!$A$1:$G$1,0))</f>
        <v>D</v>
      </c>
      <c r="M20" s="14">
        <f>INDEX(products!$A$1:$G$49,MATCH(orders!$D20,products!$A$1:$A$49,0),MATCH(orders!M$1,products!$A$1:$G$1,0))</f>
        <v>2.5</v>
      </c>
      <c r="N20" s="4">
        <f>INDEX(products!$A$1:$G$49,MATCH(orders!$D20,products!$A$1:$A$49,0),MATCH(orders!N$1,products!$A$1:$G$1,0))</f>
        <v>20.584999999999997</v>
      </c>
      <c r="O20" s="13">
        <f t="shared" si="0"/>
        <v>82.339999999999989</v>
      </c>
      <c r="P20" s="13">
        <f>_xlfn.XLOOKUP(Orders[[#This Row],[Product ID]],products!$A$1:$A$49,products!$G$1:$G$49,,0)</f>
        <v>1.2350999999999999</v>
      </c>
      <c r="Q20" s="13">
        <f t="shared" si="1"/>
        <v>4.9403999999999995</v>
      </c>
      <c r="R20" t="str">
        <f t="shared" si="2"/>
        <v>Robusta</v>
      </c>
      <c r="S20" t="str">
        <f t="shared" si="3"/>
        <v>Dark</v>
      </c>
      <c r="T20" t="str">
        <f>_xlfn.XLOOKUP(Orders[[#This Row],[Customer ID]],customers!$A$1:$A$1001,customers!$I$1:$I$1001,,0)</f>
        <v>Yes</v>
      </c>
    </row>
    <row r="21" spans="1:20" x14ac:dyDescent="0.35">
      <c r="A21" s="2" t="s">
        <v>598</v>
      </c>
      <c r="B21" s="3">
        <v>44169</v>
      </c>
      <c r="C21" s="2" t="s">
        <v>599</v>
      </c>
      <c r="D21" t="s">
        <v>6152</v>
      </c>
      <c r="E21" t="str">
        <f t="shared" si="4"/>
        <v>Arabica-Medium-0.2</v>
      </c>
      <c r="F21" s="2">
        <v>5</v>
      </c>
      <c r="G21" s="2" t="str" cm="1">
        <f t="array" ref="G21">_xlfn.XLOOKUP(C21, customers!$A$1:A1020,customers!$B$1:B1020,,0)</f>
        <v>Aurea Corradino</v>
      </c>
      <c r="H21" s="2" t="str" cm="1">
        <f t="array" ref="H21">IF(_xlfn.XLOOKUP(C21,customers!$A$1:A1020,customers!$C$1:C1020,,0) = 0,"", _xlfn.XLOOKUP(C21,customers!$A$1:A1020,customers!$C$1:C1020,,0))</f>
        <v>acorradinoj@harvard.edu</v>
      </c>
      <c r="I21" s="2" t="str">
        <f>_xlfn.XLOOKUP(C21,customers!$A$1:$A$1001,customers!$G$1:$G$1001,,0)</f>
        <v>United States</v>
      </c>
      <c r="J21" s="2" t="str">
        <f>_xlfn.XLOOKUP(Orders[[#This Row],[Customer ID]],customers!$A$1:$A$1001,customers!$F$1:$F$1001,,0)</f>
        <v>New York City</v>
      </c>
      <c r="K21" t="str">
        <f>INDEX(products!$A$1:$G$49,MATCH(orders!$D21,products!$A$1:$A$49,0),MATCH(orders!K$1,products!$A$1:$G$1,0))</f>
        <v>Ara</v>
      </c>
      <c r="L21" t="str">
        <f>INDEX(products!$A$1:$G$49,MATCH(orders!$D21,products!$A$1:$A$49,0),MATCH(orders!L$1,products!$A$1:$G$1,0))</f>
        <v>M</v>
      </c>
      <c r="M21" s="14">
        <f>INDEX(products!$A$1:$G$49,MATCH(orders!$D21,products!$A$1:$A$49,0),MATCH(orders!M$1,products!$A$1:$G$1,0))</f>
        <v>0.2</v>
      </c>
      <c r="N21" s="4">
        <f>INDEX(products!$A$1:$G$49,MATCH(orders!$D21,products!$A$1:$A$49,0),MATCH(orders!N$1,products!$A$1:$G$1,0))</f>
        <v>3.375</v>
      </c>
      <c r="O21" s="13">
        <f t="shared" si="0"/>
        <v>16.875</v>
      </c>
      <c r="P21" s="13">
        <f>_xlfn.XLOOKUP(Orders[[#This Row],[Product ID]],products!$A$1:$A$49,products!$G$1:$G$49,,0)</f>
        <v>0.30374999999999996</v>
      </c>
      <c r="Q21" s="13">
        <f t="shared" si="1"/>
        <v>1.5187499999999998</v>
      </c>
      <c r="R21" t="str">
        <f t="shared" si="2"/>
        <v>Arabica</v>
      </c>
      <c r="S21" t="str">
        <f t="shared" si="3"/>
        <v>Medium</v>
      </c>
      <c r="T21" t="str">
        <f>_xlfn.XLOOKUP(Orders[[#This Row],[Customer ID]],customers!$A$1:$A$1001,customers!$I$1:$I$1001,,0)</f>
        <v>Yes</v>
      </c>
    </row>
    <row r="22" spans="1:20" x14ac:dyDescent="0.35">
      <c r="A22" s="2" t="s">
        <v>598</v>
      </c>
      <c r="B22" s="3">
        <v>44169</v>
      </c>
      <c r="C22" s="2" t="s">
        <v>599</v>
      </c>
      <c r="D22" t="s">
        <v>6153</v>
      </c>
      <c r="E22" t="str">
        <f t="shared" si="4"/>
        <v>Excelsa-Dark-0.2</v>
      </c>
      <c r="F22" s="2">
        <v>4</v>
      </c>
      <c r="G22" s="2" t="str" cm="1">
        <f t="array" ref="G22">_xlfn.XLOOKUP(C22, customers!$A$1:A1021,customers!$B$1:B1021,,0)</f>
        <v>Aurea Corradino</v>
      </c>
      <c r="H22" s="2" t="str" cm="1">
        <f t="array" ref="H22">IF(_xlfn.XLOOKUP(C22,customers!$A$1:A1021,customers!$C$1:C1021,,0) = 0,"", _xlfn.XLOOKUP(C22,customers!$A$1:A1021,customers!$C$1:C1021,,0))</f>
        <v>acorradinoj@harvard.edu</v>
      </c>
      <c r="I22" s="2" t="str">
        <f>_xlfn.XLOOKUP(C22,customers!$A$1:$A$1001,customers!$G$1:$G$1001,,0)</f>
        <v>United States</v>
      </c>
      <c r="J22" s="2" t="str">
        <f>_xlfn.XLOOKUP(Orders[[#This Row],[Customer ID]],customers!$A$1:$A$1001,customers!$F$1:$F$1001,,0)</f>
        <v>New York City</v>
      </c>
      <c r="K22" t="str">
        <f>INDEX(products!$A$1:$G$49,MATCH(orders!$D22,products!$A$1:$A$49,0),MATCH(orders!K$1,products!$A$1:$G$1,0))</f>
        <v>Exc</v>
      </c>
      <c r="L22" t="str">
        <f>INDEX(products!$A$1:$G$49,MATCH(orders!$D22,products!$A$1:$A$49,0),MATCH(orders!L$1,products!$A$1:$G$1,0))</f>
        <v>D</v>
      </c>
      <c r="M22" s="14">
        <f>INDEX(products!$A$1:$G$49,MATCH(orders!$D22,products!$A$1:$A$49,0),MATCH(orders!M$1,products!$A$1:$G$1,0))</f>
        <v>0.2</v>
      </c>
      <c r="N22" s="4">
        <f>INDEX(products!$A$1:$G$49,MATCH(orders!$D22,products!$A$1:$A$49,0),MATCH(orders!N$1,products!$A$1:$G$1,0))</f>
        <v>3.645</v>
      </c>
      <c r="O22" s="13">
        <f t="shared" si="0"/>
        <v>14.58</v>
      </c>
      <c r="P22" s="13">
        <f>_xlfn.XLOOKUP(Orders[[#This Row],[Product ID]],products!$A$1:$A$49,products!$G$1:$G$49,,0)</f>
        <v>0.40095000000000003</v>
      </c>
      <c r="Q22" s="13">
        <f t="shared" si="1"/>
        <v>1.6038000000000001</v>
      </c>
      <c r="R22" t="str">
        <f t="shared" si="2"/>
        <v>Execelsa</v>
      </c>
      <c r="S22" t="str">
        <f t="shared" si="3"/>
        <v>Dark</v>
      </c>
      <c r="T22" t="str">
        <f>_xlfn.XLOOKUP(Orders[[#This Row],[Customer ID]],customers!$A$1:$A$1001,customers!$I$1:$I$1001,,0)</f>
        <v>Yes</v>
      </c>
    </row>
    <row r="23" spans="1:20" x14ac:dyDescent="0.35">
      <c r="A23" s="2" t="s">
        <v>608</v>
      </c>
      <c r="B23" s="3">
        <v>44169</v>
      </c>
      <c r="C23" s="2" t="s">
        <v>609</v>
      </c>
      <c r="D23" t="s">
        <v>6154</v>
      </c>
      <c r="E23" t="str">
        <f t="shared" si="4"/>
        <v>Arabica-Dark-0.2</v>
      </c>
      <c r="F23" s="2">
        <v>6</v>
      </c>
      <c r="G23" s="2" t="str" cm="1">
        <f t="array" ref="G23">_xlfn.XLOOKUP(C23, customers!$A$1:A1022,customers!$B$1:B1022,,0)</f>
        <v>Avrit Davidowsky</v>
      </c>
      <c r="H23" s="2" t="str" cm="1">
        <f t="array" ref="H23">IF(_xlfn.XLOOKUP(C23,customers!$A$1:A1022,customers!$C$1:C1022,,0) = 0,"", _xlfn.XLOOKUP(C23,customers!$A$1:A1022,customers!$C$1:C1022,,0))</f>
        <v>adavidowskyl@netvibes.com</v>
      </c>
      <c r="I23" s="2" t="str">
        <f>_xlfn.XLOOKUP(C23,customers!$A$1:$A$1001,customers!$G$1:$G$1001,,0)</f>
        <v>United States</v>
      </c>
      <c r="J23" s="2" t="str">
        <f>_xlfn.XLOOKUP(Orders[[#This Row],[Customer ID]],customers!$A$1:$A$1001,customers!$F$1:$F$1001,,0)</f>
        <v>Grand Rapids</v>
      </c>
      <c r="K23" t="str">
        <f>INDEX(products!$A$1:$G$49,MATCH(orders!$D23,products!$A$1:$A$49,0),MATCH(orders!K$1,products!$A$1:$G$1,0))</f>
        <v>Ara</v>
      </c>
      <c r="L23" t="str">
        <f>INDEX(products!$A$1:$G$49,MATCH(orders!$D23,products!$A$1:$A$49,0),MATCH(orders!L$1,products!$A$1:$G$1,0))</f>
        <v>D</v>
      </c>
      <c r="M23" s="14">
        <f>INDEX(products!$A$1:$G$49,MATCH(orders!$D23,products!$A$1:$A$49,0),MATCH(orders!M$1,products!$A$1:$G$1,0))</f>
        <v>0.2</v>
      </c>
      <c r="N23" s="4">
        <f>INDEX(products!$A$1:$G$49,MATCH(orders!$D23,products!$A$1:$A$49,0),MATCH(orders!N$1,products!$A$1:$G$1,0))</f>
        <v>2.9849999999999999</v>
      </c>
      <c r="O23" s="13">
        <f t="shared" si="0"/>
        <v>17.91</v>
      </c>
      <c r="P23" s="13">
        <f>_xlfn.XLOOKUP(Orders[[#This Row],[Product ID]],products!$A$1:$A$49,products!$G$1:$G$49,,0)</f>
        <v>0.26865</v>
      </c>
      <c r="Q23" s="13">
        <f t="shared" si="1"/>
        <v>1.6118999999999999</v>
      </c>
      <c r="R23" t="str">
        <f t="shared" si="2"/>
        <v>Arabica</v>
      </c>
      <c r="S23" t="str">
        <f t="shared" si="3"/>
        <v>Dark</v>
      </c>
      <c r="T23" t="str">
        <f>_xlfn.XLOOKUP(Orders[[#This Row],[Customer ID]],customers!$A$1:$A$1001,customers!$I$1:$I$1001,,0)</f>
        <v>No</v>
      </c>
    </row>
    <row r="24" spans="1:20" x14ac:dyDescent="0.35">
      <c r="A24" s="2" t="s">
        <v>614</v>
      </c>
      <c r="B24" s="3">
        <v>44218</v>
      </c>
      <c r="C24" s="2" t="s">
        <v>615</v>
      </c>
      <c r="D24" t="s">
        <v>6151</v>
      </c>
      <c r="E24" t="str">
        <f t="shared" si="4"/>
        <v>Robusta-Medium-2.5</v>
      </c>
      <c r="F24" s="2">
        <v>4</v>
      </c>
      <c r="G24" s="2" t="str" cm="1">
        <f t="array" ref="G24">_xlfn.XLOOKUP(C24, customers!$A$1:A1023,customers!$B$1:B1023,,0)</f>
        <v>Annabel Antuk</v>
      </c>
      <c r="H24" s="2" t="str" cm="1">
        <f t="array" ref="H24">IF(_xlfn.XLOOKUP(C24,customers!$A$1:A1023,customers!$C$1:C1023,,0) = 0,"", _xlfn.XLOOKUP(C24,customers!$A$1:A1023,customers!$C$1:C1023,,0))</f>
        <v>aantukm@kickstarter.com</v>
      </c>
      <c r="I24" s="2" t="str">
        <f>_xlfn.XLOOKUP(C24,customers!$A$1:$A$1001,customers!$G$1:$G$1001,,0)</f>
        <v>United States</v>
      </c>
      <c r="J24" s="2" t="str">
        <f>_xlfn.XLOOKUP(Orders[[#This Row],[Customer ID]],customers!$A$1:$A$1001,customers!$F$1:$F$1001,,0)</f>
        <v>Punta Gorda</v>
      </c>
      <c r="K24" t="str">
        <f>INDEX(products!$A$1:$G$49,MATCH(orders!$D24,products!$A$1:$A$49,0),MATCH(orders!K$1,products!$A$1:$G$1,0))</f>
        <v>Rob</v>
      </c>
      <c r="L24" t="str">
        <f>INDEX(products!$A$1:$G$49,MATCH(orders!$D24,products!$A$1:$A$49,0),MATCH(orders!L$1,products!$A$1:$G$1,0))</f>
        <v>M</v>
      </c>
      <c r="M24" s="14">
        <f>INDEX(products!$A$1:$G$49,MATCH(orders!$D24,products!$A$1:$A$49,0),MATCH(orders!M$1,products!$A$1:$G$1,0))</f>
        <v>2.5</v>
      </c>
      <c r="N24" s="4">
        <f>INDEX(products!$A$1:$G$49,MATCH(orders!$D24,products!$A$1:$A$49,0),MATCH(orders!N$1,products!$A$1:$G$1,0))</f>
        <v>22.884999999999998</v>
      </c>
      <c r="O24" s="13">
        <f t="shared" si="0"/>
        <v>91.539999999999992</v>
      </c>
      <c r="P24" s="13">
        <f>_xlfn.XLOOKUP(Orders[[#This Row],[Product ID]],products!$A$1:$A$49,products!$G$1:$G$49,,0)</f>
        <v>1.3730999999999998</v>
      </c>
      <c r="Q24" s="13">
        <f t="shared" si="1"/>
        <v>5.4923999999999991</v>
      </c>
      <c r="R24" t="str">
        <f t="shared" si="2"/>
        <v>Robusta</v>
      </c>
      <c r="S24" t="str">
        <f t="shared" si="3"/>
        <v>Medium</v>
      </c>
      <c r="T24" t="str">
        <f>_xlfn.XLOOKUP(Orders[[#This Row],[Customer ID]],customers!$A$1:$A$1001,customers!$I$1:$I$1001,,0)</f>
        <v>Yes</v>
      </c>
    </row>
    <row r="25" spans="1:20" x14ac:dyDescent="0.35">
      <c r="A25" s="2" t="s">
        <v>620</v>
      </c>
      <c r="B25" s="3">
        <v>44603</v>
      </c>
      <c r="C25" s="2" t="s">
        <v>621</v>
      </c>
      <c r="D25" t="s">
        <v>6154</v>
      </c>
      <c r="E25" t="str">
        <f t="shared" si="4"/>
        <v>Arabica-Dark-0.2</v>
      </c>
      <c r="F25" s="2">
        <v>4</v>
      </c>
      <c r="G25" s="2" t="str" cm="1">
        <f t="array" ref="G25">_xlfn.XLOOKUP(C25, customers!$A$1:A1024,customers!$B$1:B1024,,0)</f>
        <v>Iorgo Kleinert</v>
      </c>
      <c r="H25" s="2" t="str" cm="1">
        <f t="array" ref="H25">IF(_xlfn.XLOOKUP(C25,customers!$A$1:A1024,customers!$C$1:C1024,,0) = 0,"", _xlfn.XLOOKUP(C25,customers!$A$1:A1024,customers!$C$1:C1024,,0))</f>
        <v>ikleinertn@timesonline.co.uk</v>
      </c>
      <c r="I25" s="2" t="str">
        <f>_xlfn.XLOOKUP(C25,customers!$A$1:$A$1001,customers!$G$1:$G$1001,,0)</f>
        <v>United States</v>
      </c>
      <c r="J25" s="2" t="str">
        <f>_xlfn.XLOOKUP(Orders[[#This Row],[Customer ID]],customers!$A$1:$A$1001,customers!$F$1:$F$1001,,0)</f>
        <v>Vancouver</v>
      </c>
      <c r="K25" t="str">
        <f>INDEX(products!$A$1:$G$49,MATCH(orders!$D25,products!$A$1:$A$49,0),MATCH(orders!K$1,products!$A$1:$G$1,0))</f>
        <v>Ara</v>
      </c>
      <c r="L25" t="str">
        <f>INDEX(products!$A$1:$G$49,MATCH(orders!$D25,products!$A$1:$A$49,0),MATCH(orders!L$1,products!$A$1:$G$1,0))</f>
        <v>D</v>
      </c>
      <c r="M25" s="14">
        <f>INDEX(products!$A$1:$G$49,MATCH(orders!$D25,products!$A$1:$A$49,0),MATCH(orders!M$1,products!$A$1:$G$1,0))</f>
        <v>0.2</v>
      </c>
      <c r="N25" s="4">
        <f>INDEX(products!$A$1:$G$49,MATCH(orders!$D25,products!$A$1:$A$49,0),MATCH(orders!N$1,products!$A$1:$G$1,0))</f>
        <v>2.9849999999999999</v>
      </c>
      <c r="O25" s="13">
        <f t="shared" si="0"/>
        <v>11.94</v>
      </c>
      <c r="P25" s="13">
        <f>_xlfn.XLOOKUP(Orders[[#This Row],[Product ID]],products!$A$1:$A$49,products!$G$1:$G$49,,0)</f>
        <v>0.26865</v>
      </c>
      <c r="Q25" s="13">
        <f t="shared" si="1"/>
        <v>1.0746</v>
      </c>
      <c r="R25" t="str">
        <f t="shared" si="2"/>
        <v>Arabica</v>
      </c>
      <c r="S25" t="str">
        <f t="shared" si="3"/>
        <v>Dark</v>
      </c>
      <c r="T25" t="str">
        <f>_xlfn.XLOOKUP(Orders[[#This Row],[Customer ID]],customers!$A$1:$A$1001,customers!$I$1:$I$1001,,0)</f>
        <v>Yes</v>
      </c>
    </row>
    <row r="26" spans="1:20" x14ac:dyDescent="0.35">
      <c r="A26" s="2" t="s">
        <v>626</v>
      </c>
      <c r="B26" s="3">
        <v>44454</v>
      </c>
      <c r="C26" s="2" t="s">
        <v>627</v>
      </c>
      <c r="D26" t="s">
        <v>6155</v>
      </c>
      <c r="E26" t="str">
        <f t="shared" si="4"/>
        <v>Arabica-Medium-1</v>
      </c>
      <c r="F26" s="2">
        <v>1</v>
      </c>
      <c r="G26" s="2" t="str" cm="1">
        <f t="array" ref="G26">_xlfn.XLOOKUP(C26, customers!$A$1:A1025,customers!$B$1:B1025,,0)</f>
        <v>Chrisy Blofeld</v>
      </c>
      <c r="H26" s="2" t="str" cm="1">
        <f t="array" ref="H26">IF(_xlfn.XLOOKUP(C26,customers!$A$1:A1025,customers!$C$1:C1025,,0) = 0,"", _xlfn.XLOOKUP(C26,customers!$A$1:A1025,customers!$C$1:C1025,,0))</f>
        <v>cblofeldo@amazon.co.uk</v>
      </c>
      <c r="I26" s="2" t="str">
        <f>_xlfn.XLOOKUP(C26,customers!$A$1:$A$1001,customers!$G$1:$G$1001,,0)</f>
        <v>United States</v>
      </c>
      <c r="J26" s="2" t="str">
        <f>_xlfn.XLOOKUP(Orders[[#This Row],[Customer ID]],customers!$A$1:$A$1001,customers!$F$1:$F$1001,,0)</f>
        <v>Englewood</v>
      </c>
      <c r="K26" t="str">
        <f>INDEX(products!$A$1:$G$49,MATCH(orders!$D26,products!$A$1:$A$49,0),MATCH(orders!K$1,products!$A$1:$G$1,0))</f>
        <v>Ara</v>
      </c>
      <c r="L26" t="str">
        <f>INDEX(products!$A$1:$G$49,MATCH(orders!$D26,products!$A$1:$A$49,0),MATCH(orders!L$1,products!$A$1:$G$1,0))</f>
        <v>M</v>
      </c>
      <c r="M26" s="14">
        <f>INDEX(products!$A$1:$G$49,MATCH(orders!$D26,products!$A$1:$A$49,0),MATCH(orders!M$1,products!$A$1:$G$1,0))</f>
        <v>1</v>
      </c>
      <c r="N26" s="4">
        <f>INDEX(products!$A$1:$G$49,MATCH(orders!$D26,products!$A$1:$A$49,0),MATCH(orders!N$1,products!$A$1:$G$1,0))</f>
        <v>11.25</v>
      </c>
      <c r="O26" s="13">
        <f t="shared" si="0"/>
        <v>11.25</v>
      </c>
      <c r="P26" s="13">
        <f>_xlfn.XLOOKUP(Orders[[#This Row],[Product ID]],products!$A$1:$A$49,products!$G$1:$G$49,,0)</f>
        <v>1.0125</v>
      </c>
      <c r="Q26" s="13">
        <f t="shared" si="1"/>
        <v>1.0125</v>
      </c>
      <c r="R26" t="str">
        <f t="shared" si="2"/>
        <v>Arabica</v>
      </c>
      <c r="S26" t="str">
        <f t="shared" si="3"/>
        <v>Medium</v>
      </c>
      <c r="T26" t="str">
        <f>_xlfn.XLOOKUP(Orders[[#This Row],[Customer ID]],customers!$A$1:$A$1001,customers!$I$1:$I$1001,,0)</f>
        <v>No</v>
      </c>
    </row>
    <row r="27" spans="1:20" x14ac:dyDescent="0.35">
      <c r="A27" s="2" t="s">
        <v>632</v>
      </c>
      <c r="B27" s="3">
        <v>44128</v>
      </c>
      <c r="C27" s="2" t="s">
        <v>633</v>
      </c>
      <c r="D27" t="s">
        <v>6156</v>
      </c>
      <c r="E27" t="str">
        <f t="shared" si="4"/>
        <v>Excelsa-Medium-0.2</v>
      </c>
      <c r="F27" s="2">
        <v>3</v>
      </c>
      <c r="G27" s="2" t="str" cm="1">
        <f t="array" ref="G27">_xlfn.XLOOKUP(C27, customers!$A$1:A1026,customers!$B$1:B1026,,0)</f>
        <v>Culley Farris</v>
      </c>
      <c r="H27" s="2" t="str" cm="1">
        <f t="array" ref="H27">IF(_xlfn.XLOOKUP(C27,customers!$A$1:A1026,customers!$C$1:C1026,,0) = 0,"", _xlfn.XLOOKUP(C27,customers!$A$1:A1026,customers!$C$1:C1026,,0))</f>
        <v/>
      </c>
      <c r="I27" s="2" t="str">
        <f>_xlfn.XLOOKUP(C27,customers!$A$1:$A$1001,customers!$G$1:$G$1001,,0)</f>
        <v>United States</v>
      </c>
      <c r="J27" s="2" t="str">
        <f>_xlfn.XLOOKUP(Orders[[#This Row],[Customer ID]],customers!$A$1:$A$1001,customers!$F$1:$F$1001,,0)</f>
        <v>Punta Gorda</v>
      </c>
      <c r="K27" t="str">
        <f>INDEX(products!$A$1:$G$49,MATCH(orders!$D27,products!$A$1:$A$49,0),MATCH(orders!K$1,products!$A$1:$G$1,0))</f>
        <v>Exc</v>
      </c>
      <c r="L27" t="str">
        <f>INDEX(products!$A$1:$G$49,MATCH(orders!$D27,products!$A$1:$A$49,0),MATCH(orders!L$1,products!$A$1:$G$1,0))</f>
        <v>M</v>
      </c>
      <c r="M27" s="14">
        <f>INDEX(products!$A$1:$G$49,MATCH(orders!$D27,products!$A$1:$A$49,0),MATCH(orders!M$1,products!$A$1:$G$1,0))</f>
        <v>0.2</v>
      </c>
      <c r="N27" s="4">
        <f>INDEX(products!$A$1:$G$49,MATCH(orders!$D27,products!$A$1:$A$49,0),MATCH(orders!N$1,products!$A$1:$G$1,0))</f>
        <v>4.125</v>
      </c>
      <c r="O27" s="13">
        <f t="shared" si="0"/>
        <v>12.375</v>
      </c>
      <c r="P27" s="13">
        <f>_xlfn.XLOOKUP(Orders[[#This Row],[Product ID]],products!$A$1:$A$49,products!$G$1:$G$49,,0)</f>
        <v>0.45374999999999999</v>
      </c>
      <c r="Q27" s="13">
        <f t="shared" si="1"/>
        <v>1.3612500000000001</v>
      </c>
      <c r="R27" t="str">
        <f t="shared" si="2"/>
        <v>Execelsa</v>
      </c>
      <c r="S27" t="str">
        <f t="shared" si="3"/>
        <v>Medium</v>
      </c>
      <c r="T27" t="str">
        <f>_xlfn.XLOOKUP(Orders[[#This Row],[Customer ID]],customers!$A$1:$A$1001,customers!$I$1:$I$1001,,0)</f>
        <v>Yes</v>
      </c>
    </row>
    <row r="28" spans="1:20" x14ac:dyDescent="0.35">
      <c r="A28" s="2" t="s">
        <v>637</v>
      </c>
      <c r="B28" s="3">
        <v>43516</v>
      </c>
      <c r="C28" s="2" t="s">
        <v>638</v>
      </c>
      <c r="D28" t="s">
        <v>6157</v>
      </c>
      <c r="E28" t="str">
        <f t="shared" si="4"/>
        <v>Arabica-Medium-0.5</v>
      </c>
      <c r="F28" s="2">
        <v>4</v>
      </c>
      <c r="G28" s="2" t="str" cm="1">
        <f t="array" ref="G28">_xlfn.XLOOKUP(C28, customers!$A$1:A1027,customers!$B$1:B1027,,0)</f>
        <v>Selene Shales</v>
      </c>
      <c r="H28" s="2" t="str" cm="1">
        <f t="array" ref="H28">IF(_xlfn.XLOOKUP(C28,customers!$A$1:A1027,customers!$C$1:C1027,,0) = 0,"", _xlfn.XLOOKUP(C28,customers!$A$1:A1027,customers!$C$1:C1027,,0))</f>
        <v>sshalesq@umich.edu</v>
      </c>
      <c r="I28" s="2" t="str">
        <f>_xlfn.XLOOKUP(C28,customers!$A$1:$A$1001,customers!$G$1:$G$1001,,0)</f>
        <v>United States</v>
      </c>
      <c r="J28" s="2" t="str">
        <f>_xlfn.XLOOKUP(Orders[[#This Row],[Customer ID]],customers!$A$1:$A$1001,customers!$F$1:$F$1001,,0)</f>
        <v>Petaluma</v>
      </c>
      <c r="K28" t="str">
        <f>INDEX(products!$A$1:$G$49,MATCH(orders!$D28,products!$A$1:$A$49,0),MATCH(orders!K$1,products!$A$1:$G$1,0))</f>
        <v>Ara</v>
      </c>
      <c r="L28" t="str">
        <f>INDEX(products!$A$1:$G$49,MATCH(orders!$D28,products!$A$1:$A$49,0),MATCH(orders!L$1,products!$A$1:$G$1,0))</f>
        <v>M</v>
      </c>
      <c r="M28" s="14">
        <f>INDEX(products!$A$1:$G$49,MATCH(orders!$D28,products!$A$1:$A$49,0),MATCH(orders!M$1,products!$A$1:$G$1,0))</f>
        <v>0.5</v>
      </c>
      <c r="N28" s="4">
        <f>INDEX(products!$A$1:$G$49,MATCH(orders!$D28,products!$A$1:$A$49,0),MATCH(orders!N$1,products!$A$1:$G$1,0))</f>
        <v>6.75</v>
      </c>
      <c r="O28" s="13">
        <f t="shared" si="0"/>
        <v>27</v>
      </c>
      <c r="P28" s="13">
        <f>_xlfn.XLOOKUP(Orders[[#This Row],[Product ID]],products!$A$1:$A$49,products!$G$1:$G$49,,0)</f>
        <v>0.60749999999999993</v>
      </c>
      <c r="Q28" s="13">
        <f t="shared" si="1"/>
        <v>2.4299999999999997</v>
      </c>
      <c r="R28" t="str">
        <f t="shared" si="2"/>
        <v>Arabica</v>
      </c>
      <c r="S28" t="str">
        <f t="shared" si="3"/>
        <v>Medium</v>
      </c>
      <c r="T28" t="str">
        <f>_xlfn.XLOOKUP(Orders[[#This Row],[Customer ID]],customers!$A$1:$A$1001,customers!$I$1:$I$1001,,0)</f>
        <v>Yes</v>
      </c>
    </row>
    <row r="29" spans="1:20" x14ac:dyDescent="0.35">
      <c r="A29" s="2" t="s">
        <v>643</v>
      </c>
      <c r="B29" s="3">
        <v>43746</v>
      </c>
      <c r="C29" s="2" t="s">
        <v>644</v>
      </c>
      <c r="D29" t="s">
        <v>6152</v>
      </c>
      <c r="E29" t="str">
        <f t="shared" si="4"/>
        <v>Arabica-Medium-0.2</v>
      </c>
      <c r="F29" s="2">
        <v>5</v>
      </c>
      <c r="G29" s="2" t="str" cm="1">
        <f t="array" ref="G29">_xlfn.XLOOKUP(C29, customers!$A$1:A1028,customers!$B$1:B1028,,0)</f>
        <v>Vivie Danneil</v>
      </c>
      <c r="H29" s="2" t="str" cm="1">
        <f t="array" ref="H29">IF(_xlfn.XLOOKUP(C29,customers!$A$1:A1028,customers!$C$1:C1028,,0) = 0,"", _xlfn.XLOOKUP(C29,customers!$A$1:A1028,customers!$C$1:C1028,,0))</f>
        <v>vdanneilr@mtv.com</v>
      </c>
      <c r="I29" s="2" t="str">
        <f>_xlfn.XLOOKUP(C29,customers!$A$1:$A$1001,customers!$G$1:$G$1001,,0)</f>
        <v>Ireland</v>
      </c>
      <c r="J29" s="2" t="str">
        <f>_xlfn.XLOOKUP(Orders[[#This Row],[Customer ID]],customers!$A$1:$A$1001,customers!$F$1:$F$1001,,0)</f>
        <v>Tralee</v>
      </c>
      <c r="K29" t="str">
        <f>INDEX(products!$A$1:$G$49,MATCH(orders!$D29,products!$A$1:$A$49,0),MATCH(orders!K$1,products!$A$1:$G$1,0))</f>
        <v>Ara</v>
      </c>
      <c r="L29" t="str">
        <f>INDEX(products!$A$1:$G$49,MATCH(orders!$D29,products!$A$1:$A$49,0),MATCH(orders!L$1,products!$A$1:$G$1,0))</f>
        <v>M</v>
      </c>
      <c r="M29" s="14">
        <f>INDEX(products!$A$1:$G$49,MATCH(orders!$D29,products!$A$1:$A$49,0),MATCH(orders!M$1,products!$A$1:$G$1,0))</f>
        <v>0.2</v>
      </c>
      <c r="N29" s="4">
        <f>INDEX(products!$A$1:$G$49,MATCH(orders!$D29,products!$A$1:$A$49,0),MATCH(orders!N$1,products!$A$1:$G$1,0))</f>
        <v>3.375</v>
      </c>
      <c r="O29" s="13">
        <f t="shared" si="0"/>
        <v>16.875</v>
      </c>
      <c r="P29" s="13">
        <f>_xlfn.XLOOKUP(Orders[[#This Row],[Product ID]],products!$A$1:$A$49,products!$G$1:$G$49,,0)</f>
        <v>0.30374999999999996</v>
      </c>
      <c r="Q29" s="13">
        <f t="shared" si="1"/>
        <v>1.5187499999999998</v>
      </c>
      <c r="R29" t="str">
        <f t="shared" si="2"/>
        <v>Arabica</v>
      </c>
      <c r="S29" t="str">
        <f t="shared" si="3"/>
        <v>Medium</v>
      </c>
      <c r="T29" t="str">
        <f>_xlfn.XLOOKUP(Orders[[#This Row],[Customer ID]],customers!$A$1:$A$1001,customers!$I$1:$I$1001,,0)</f>
        <v>No</v>
      </c>
    </row>
    <row r="30" spans="1:20" x14ac:dyDescent="0.35">
      <c r="A30" s="2" t="s">
        <v>649</v>
      </c>
      <c r="B30" s="3">
        <v>44775</v>
      </c>
      <c r="C30" s="2" t="s">
        <v>650</v>
      </c>
      <c r="D30" t="s">
        <v>6158</v>
      </c>
      <c r="E30" t="str">
        <f t="shared" si="4"/>
        <v>Arabica-Dark-0.5</v>
      </c>
      <c r="F30" s="2">
        <v>3</v>
      </c>
      <c r="G30" s="2" t="str" cm="1">
        <f t="array" ref="G30">_xlfn.XLOOKUP(C30, customers!$A$1:A1029,customers!$B$1:B1029,,0)</f>
        <v>Theresita Newbury</v>
      </c>
      <c r="H30" s="2" t="str" cm="1">
        <f t="array" ref="H30">IF(_xlfn.XLOOKUP(C30,customers!$A$1:A1029,customers!$C$1:C1029,,0) = 0,"", _xlfn.XLOOKUP(C30,customers!$A$1:A1029,customers!$C$1:C1029,,0))</f>
        <v>tnewburys@usda.gov</v>
      </c>
      <c r="I30" s="2" t="str">
        <f>_xlfn.XLOOKUP(C30,customers!$A$1:$A$1001,customers!$G$1:$G$1001,,0)</f>
        <v>Ireland</v>
      </c>
      <c r="J30" s="2" t="str">
        <f>_xlfn.XLOOKUP(Orders[[#This Row],[Customer ID]],customers!$A$1:$A$1001,customers!$F$1:$F$1001,,0)</f>
        <v>Clonskeagh</v>
      </c>
      <c r="K30" t="str">
        <f>INDEX(products!$A$1:$G$49,MATCH(orders!$D30,products!$A$1:$A$49,0),MATCH(orders!K$1,products!$A$1:$G$1,0))</f>
        <v>Ara</v>
      </c>
      <c r="L30" t="str">
        <f>INDEX(products!$A$1:$G$49,MATCH(orders!$D30,products!$A$1:$A$49,0),MATCH(orders!L$1,products!$A$1:$G$1,0))</f>
        <v>D</v>
      </c>
      <c r="M30" s="14">
        <f>INDEX(products!$A$1:$G$49,MATCH(orders!$D30,products!$A$1:$A$49,0),MATCH(orders!M$1,products!$A$1:$G$1,0))</f>
        <v>0.5</v>
      </c>
      <c r="N30" s="4">
        <f>INDEX(products!$A$1:$G$49,MATCH(orders!$D30,products!$A$1:$A$49,0),MATCH(orders!N$1,products!$A$1:$G$1,0))</f>
        <v>5.97</v>
      </c>
      <c r="O30" s="13">
        <f t="shared" si="0"/>
        <v>17.91</v>
      </c>
      <c r="P30" s="13">
        <f>_xlfn.XLOOKUP(Orders[[#This Row],[Product ID]],products!$A$1:$A$49,products!$G$1:$G$49,,0)</f>
        <v>0.5373</v>
      </c>
      <c r="Q30" s="13">
        <f t="shared" si="1"/>
        <v>1.6118999999999999</v>
      </c>
      <c r="R30" t="str">
        <f t="shared" si="2"/>
        <v>Arabica</v>
      </c>
      <c r="S30" t="str">
        <f t="shared" si="3"/>
        <v>Dark</v>
      </c>
      <c r="T30" t="str">
        <f>_xlfn.XLOOKUP(Orders[[#This Row],[Customer ID]],customers!$A$1:$A$1001,customers!$I$1:$I$1001,,0)</f>
        <v>No</v>
      </c>
    </row>
    <row r="31" spans="1:20" x14ac:dyDescent="0.35">
      <c r="A31" s="2" t="s">
        <v>655</v>
      </c>
      <c r="B31" s="3">
        <v>43516</v>
      </c>
      <c r="C31" s="2" t="s">
        <v>656</v>
      </c>
      <c r="D31" t="s">
        <v>6147</v>
      </c>
      <c r="E31" t="str">
        <f t="shared" si="4"/>
        <v>Arabica-Dark-1</v>
      </c>
      <c r="F31" s="2">
        <v>4</v>
      </c>
      <c r="G31" s="2" t="str" cm="1">
        <f t="array" ref="G31">_xlfn.XLOOKUP(C31, customers!$A$1:A1030,customers!$B$1:B1030,,0)</f>
        <v>Mozelle Calcutt</v>
      </c>
      <c r="H31" s="2" t="str" cm="1">
        <f t="array" ref="H31">IF(_xlfn.XLOOKUP(C31,customers!$A$1:A1030,customers!$C$1:C1030,,0) = 0,"", _xlfn.XLOOKUP(C31,customers!$A$1:A1030,customers!$C$1:C1030,,0))</f>
        <v>mcalcuttt@baidu.com</v>
      </c>
      <c r="I31" s="2" t="str">
        <f>_xlfn.XLOOKUP(C31,customers!$A$1:$A$1001,customers!$G$1:$G$1001,,0)</f>
        <v>Ireland</v>
      </c>
      <c r="J31" s="2" t="str">
        <f>_xlfn.XLOOKUP(Orders[[#This Row],[Customer ID]],customers!$A$1:$A$1001,customers!$F$1:$F$1001,,0)</f>
        <v>Rathwire</v>
      </c>
      <c r="K31" t="str">
        <f>INDEX(products!$A$1:$G$49,MATCH(orders!$D31,products!$A$1:$A$49,0),MATCH(orders!K$1,products!$A$1:$G$1,0))</f>
        <v>Ara</v>
      </c>
      <c r="L31" t="str">
        <f>INDEX(products!$A$1:$G$49,MATCH(orders!$D31,products!$A$1:$A$49,0),MATCH(orders!L$1,products!$A$1:$G$1,0))</f>
        <v>D</v>
      </c>
      <c r="M31" s="14">
        <f>INDEX(products!$A$1:$G$49,MATCH(orders!$D31,products!$A$1:$A$49,0),MATCH(orders!M$1,products!$A$1:$G$1,0))</f>
        <v>1</v>
      </c>
      <c r="N31" s="4">
        <f>INDEX(products!$A$1:$G$49,MATCH(orders!$D31,products!$A$1:$A$49,0),MATCH(orders!N$1,products!$A$1:$G$1,0))</f>
        <v>9.9499999999999993</v>
      </c>
      <c r="O31" s="13">
        <f t="shared" si="0"/>
        <v>39.799999999999997</v>
      </c>
      <c r="P31" s="13">
        <f>_xlfn.XLOOKUP(Orders[[#This Row],[Product ID]],products!$A$1:$A$49,products!$G$1:$G$49,,0)</f>
        <v>0.89549999999999985</v>
      </c>
      <c r="Q31" s="13">
        <f t="shared" si="1"/>
        <v>3.5819999999999994</v>
      </c>
      <c r="R31" t="str">
        <f t="shared" si="2"/>
        <v>Arabica</v>
      </c>
      <c r="S31" t="str">
        <f t="shared" si="3"/>
        <v>Dark</v>
      </c>
      <c r="T31" t="str">
        <f>_xlfn.XLOOKUP(Orders[[#This Row],[Customer ID]],customers!$A$1:$A$1001,customers!$I$1:$I$1001,,0)</f>
        <v>Yes</v>
      </c>
    </row>
    <row r="32" spans="1:20" x14ac:dyDescent="0.35">
      <c r="A32" s="2" t="s">
        <v>661</v>
      </c>
      <c r="B32" s="3">
        <v>44464</v>
      </c>
      <c r="C32" s="2" t="s">
        <v>662</v>
      </c>
      <c r="D32" t="s">
        <v>6159</v>
      </c>
      <c r="E32" t="str">
        <f t="shared" si="4"/>
        <v>Liberica-Medium-0.2</v>
      </c>
      <c r="F32" s="2">
        <v>5</v>
      </c>
      <c r="G32" s="2" t="str" cm="1">
        <f t="array" ref="G32">_xlfn.XLOOKUP(C32, customers!$A$1:A1031,customers!$B$1:B1031,,0)</f>
        <v>Adrian Swaine</v>
      </c>
      <c r="H32" s="2" t="str" cm="1">
        <f t="array" ref="H32">IF(_xlfn.XLOOKUP(C32,customers!$A$1:A1031,customers!$C$1:C1031,,0) = 0,"", _xlfn.XLOOKUP(C32,customers!$A$1:A1031,customers!$C$1:C1031,,0))</f>
        <v/>
      </c>
      <c r="I32" s="2" t="str">
        <f>_xlfn.XLOOKUP(C32,customers!$A$1:$A$1001,customers!$G$1:$G$1001,,0)</f>
        <v>United States</v>
      </c>
      <c r="J32" s="2" t="str">
        <f>_xlfn.XLOOKUP(Orders[[#This Row],[Customer ID]],customers!$A$1:$A$1001,customers!$F$1:$F$1001,,0)</f>
        <v>Aurora</v>
      </c>
      <c r="K32" t="str">
        <f>INDEX(products!$A$1:$G$49,MATCH(orders!$D32,products!$A$1:$A$49,0),MATCH(orders!K$1,products!$A$1:$G$1,0))</f>
        <v>Lib</v>
      </c>
      <c r="L32" t="str">
        <f>INDEX(products!$A$1:$G$49,MATCH(orders!$D32,products!$A$1:$A$49,0),MATCH(orders!L$1,products!$A$1:$G$1,0))</f>
        <v>M</v>
      </c>
      <c r="M32" s="14">
        <f>INDEX(products!$A$1:$G$49,MATCH(orders!$D32,products!$A$1:$A$49,0),MATCH(orders!M$1,products!$A$1:$G$1,0))</f>
        <v>0.2</v>
      </c>
      <c r="N32" s="4">
        <f>INDEX(products!$A$1:$G$49,MATCH(orders!$D32,products!$A$1:$A$49,0),MATCH(orders!N$1,products!$A$1:$G$1,0))</f>
        <v>4.3650000000000002</v>
      </c>
      <c r="O32" s="13">
        <f t="shared" si="0"/>
        <v>21.825000000000003</v>
      </c>
      <c r="P32" s="13">
        <f>_xlfn.XLOOKUP(Orders[[#This Row],[Product ID]],products!$A$1:$A$49,products!$G$1:$G$49,,0)</f>
        <v>0.56745000000000001</v>
      </c>
      <c r="Q32" s="13">
        <f t="shared" si="1"/>
        <v>2.83725</v>
      </c>
      <c r="R32" t="str">
        <f t="shared" si="2"/>
        <v>Liberica</v>
      </c>
      <c r="S32" t="str">
        <f t="shared" si="3"/>
        <v>Medium</v>
      </c>
      <c r="T32" t="str">
        <f>_xlfn.XLOOKUP(Orders[[#This Row],[Customer ID]],customers!$A$1:$A$1001,customers!$I$1:$I$1001,,0)</f>
        <v>No</v>
      </c>
    </row>
    <row r="33" spans="1:20" x14ac:dyDescent="0.35">
      <c r="A33" s="2" t="s">
        <v>661</v>
      </c>
      <c r="B33" s="3">
        <v>44464</v>
      </c>
      <c r="C33" s="2" t="s">
        <v>662</v>
      </c>
      <c r="D33" t="s">
        <v>6158</v>
      </c>
      <c r="E33" t="str">
        <f t="shared" si="4"/>
        <v>Arabica-Dark-0.5</v>
      </c>
      <c r="F33" s="2">
        <v>6</v>
      </c>
      <c r="G33" s="2" t="str" cm="1">
        <f t="array" ref="G33">_xlfn.XLOOKUP(C33, customers!$A$1:A1032,customers!$B$1:B1032,,0)</f>
        <v>Adrian Swaine</v>
      </c>
      <c r="H33" s="2" t="str" cm="1">
        <f t="array" ref="H33">IF(_xlfn.XLOOKUP(C33,customers!$A$1:A1032,customers!$C$1:C1032,,0) = 0,"", _xlfn.XLOOKUP(C33,customers!$A$1:A1032,customers!$C$1:C1032,,0))</f>
        <v/>
      </c>
      <c r="I33" s="2" t="str">
        <f>_xlfn.XLOOKUP(C33,customers!$A$1:$A$1001,customers!$G$1:$G$1001,,0)</f>
        <v>United States</v>
      </c>
      <c r="J33" s="2" t="str">
        <f>_xlfn.XLOOKUP(Orders[[#This Row],[Customer ID]],customers!$A$1:$A$1001,customers!$F$1:$F$1001,,0)</f>
        <v>Aurora</v>
      </c>
      <c r="K33" t="str">
        <f>INDEX(products!$A$1:$G$49,MATCH(orders!$D33,products!$A$1:$A$49,0),MATCH(orders!K$1,products!$A$1:$G$1,0))</f>
        <v>Ara</v>
      </c>
      <c r="L33" t="str">
        <f>INDEX(products!$A$1:$G$49,MATCH(orders!$D33,products!$A$1:$A$49,0),MATCH(orders!L$1,products!$A$1:$G$1,0))</f>
        <v>D</v>
      </c>
      <c r="M33" s="14">
        <f>INDEX(products!$A$1:$G$49,MATCH(orders!$D33,products!$A$1:$A$49,0),MATCH(orders!M$1,products!$A$1:$G$1,0))</f>
        <v>0.5</v>
      </c>
      <c r="N33" s="4">
        <f>INDEX(products!$A$1:$G$49,MATCH(orders!$D33,products!$A$1:$A$49,0),MATCH(orders!N$1,products!$A$1:$G$1,0))</f>
        <v>5.97</v>
      </c>
      <c r="O33" s="13">
        <f t="shared" si="0"/>
        <v>35.82</v>
      </c>
      <c r="P33" s="13">
        <f>_xlfn.XLOOKUP(Orders[[#This Row],[Product ID]],products!$A$1:$A$49,products!$G$1:$G$49,,0)</f>
        <v>0.5373</v>
      </c>
      <c r="Q33" s="13">
        <f t="shared" si="1"/>
        <v>3.2237999999999998</v>
      </c>
      <c r="R33" t="str">
        <f t="shared" si="2"/>
        <v>Arabica</v>
      </c>
      <c r="S33" t="str">
        <f t="shared" si="3"/>
        <v>Dark</v>
      </c>
      <c r="T33" t="str">
        <f>_xlfn.XLOOKUP(Orders[[#This Row],[Customer ID]],customers!$A$1:$A$1001,customers!$I$1:$I$1001,,0)</f>
        <v>No</v>
      </c>
    </row>
    <row r="34" spans="1:20" x14ac:dyDescent="0.35">
      <c r="A34" s="2" t="s">
        <v>661</v>
      </c>
      <c r="B34" s="3">
        <v>44464</v>
      </c>
      <c r="C34" s="2" t="s">
        <v>662</v>
      </c>
      <c r="D34" t="s">
        <v>6160</v>
      </c>
      <c r="E34" t="str">
        <f t="shared" si="4"/>
        <v>Liberica-Medium-0.5</v>
      </c>
      <c r="F34" s="2">
        <v>6</v>
      </c>
      <c r="G34" s="2" t="str" cm="1">
        <f t="array" ref="G34">_xlfn.XLOOKUP(C34, customers!$A$1:A1033,customers!$B$1:B1033,,0)</f>
        <v>Adrian Swaine</v>
      </c>
      <c r="H34" s="2" t="str" cm="1">
        <f t="array" ref="H34">IF(_xlfn.XLOOKUP(C34,customers!$A$1:A1033,customers!$C$1:C1033,,0) = 0,"", _xlfn.XLOOKUP(C34,customers!$A$1:A1033,customers!$C$1:C1033,,0))</f>
        <v/>
      </c>
      <c r="I34" s="2" t="str">
        <f>_xlfn.XLOOKUP(C34,customers!$A$1:$A$1001,customers!$G$1:$G$1001,,0)</f>
        <v>United States</v>
      </c>
      <c r="J34" s="2" t="str">
        <f>_xlfn.XLOOKUP(Orders[[#This Row],[Customer ID]],customers!$A$1:$A$1001,customers!$F$1:$F$1001,,0)</f>
        <v>Aurora</v>
      </c>
      <c r="K34" t="str">
        <f>INDEX(products!$A$1:$G$49,MATCH(orders!$D34,products!$A$1:$A$49,0),MATCH(orders!K$1,products!$A$1:$G$1,0))</f>
        <v>Lib</v>
      </c>
      <c r="L34" t="str">
        <f>INDEX(products!$A$1:$G$49,MATCH(orders!$D34,products!$A$1:$A$49,0),MATCH(orders!L$1,products!$A$1:$G$1,0))</f>
        <v>M</v>
      </c>
      <c r="M34" s="14">
        <f>INDEX(products!$A$1:$G$49,MATCH(orders!$D34,products!$A$1:$A$49,0),MATCH(orders!M$1,products!$A$1:$G$1,0))</f>
        <v>0.5</v>
      </c>
      <c r="N34" s="4">
        <f>INDEX(products!$A$1:$G$49,MATCH(orders!$D34,products!$A$1:$A$49,0),MATCH(orders!N$1,products!$A$1:$G$1,0))</f>
        <v>8.73</v>
      </c>
      <c r="O34" s="13">
        <f t="shared" si="0"/>
        <v>52.38</v>
      </c>
      <c r="P34" s="13">
        <f>_xlfn.XLOOKUP(Orders[[#This Row],[Product ID]],products!$A$1:$A$49,products!$G$1:$G$49,,0)</f>
        <v>1.1349</v>
      </c>
      <c r="Q34" s="13">
        <f t="shared" si="1"/>
        <v>6.8094000000000001</v>
      </c>
      <c r="R34" t="str">
        <f t="shared" si="2"/>
        <v>Liberica</v>
      </c>
      <c r="S34" t="str">
        <f t="shared" si="3"/>
        <v>Medium</v>
      </c>
      <c r="T34" t="str">
        <f>_xlfn.XLOOKUP(Orders[[#This Row],[Customer ID]],customers!$A$1:$A$1001,customers!$I$1:$I$1001,,0)</f>
        <v>No</v>
      </c>
    </row>
    <row r="35" spans="1:20" x14ac:dyDescent="0.35">
      <c r="A35" s="2" t="s">
        <v>676</v>
      </c>
      <c r="B35" s="3">
        <v>44394</v>
      </c>
      <c r="C35" s="2" t="s">
        <v>677</v>
      </c>
      <c r="D35" t="s">
        <v>6145</v>
      </c>
      <c r="E35" t="str">
        <f t="shared" si="4"/>
        <v>Liberica-Light-0.2</v>
      </c>
      <c r="F35" s="2">
        <v>5</v>
      </c>
      <c r="G35" s="2" t="str" cm="1">
        <f t="array" ref="G35">_xlfn.XLOOKUP(C35, customers!$A$1:A1034,customers!$B$1:B1034,,0)</f>
        <v>Gallard Gatheral</v>
      </c>
      <c r="H35" s="2" t="str" cm="1">
        <f t="array" ref="H35">IF(_xlfn.XLOOKUP(C35,customers!$A$1:A1034,customers!$C$1:C1034,,0) = 0,"", _xlfn.XLOOKUP(C35,customers!$A$1:A1034,customers!$C$1:C1034,,0))</f>
        <v>ggatheralx@123-reg.co.uk</v>
      </c>
      <c r="I35" s="2" t="str">
        <f>_xlfn.XLOOKUP(C35,customers!$A$1:$A$1001,customers!$G$1:$G$1001,,0)</f>
        <v>United States</v>
      </c>
      <c r="J35" s="2" t="str">
        <f>_xlfn.XLOOKUP(Orders[[#This Row],[Customer ID]],customers!$A$1:$A$1001,customers!$F$1:$F$1001,,0)</f>
        <v>Grand Forks</v>
      </c>
      <c r="K35" t="str">
        <f>INDEX(products!$A$1:$G$49,MATCH(orders!$D35,products!$A$1:$A$49,0),MATCH(orders!K$1,products!$A$1:$G$1,0))</f>
        <v>Lib</v>
      </c>
      <c r="L35" t="str">
        <f>INDEX(products!$A$1:$G$49,MATCH(orders!$D35,products!$A$1:$A$49,0),MATCH(orders!L$1,products!$A$1:$G$1,0))</f>
        <v>L</v>
      </c>
      <c r="M35" s="14">
        <f>INDEX(products!$A$1:$G$49,MATCH(orders!$D35,products!$A$1:$A$49,0),MATCH(orders!M$1,products!$A$1:$G$1,0))</f>
        <v>0.2</v>
      </c>
      <c r="N35" s="4">
        <f>INDEX(products!$A$1:$G$49,MATCH(orders!$D35,products!$A$1:$A$49,0),MATCH(orders!N$1,products!$A$1:$G$1,0))</f>
        <v>4.7549999999999999</v>
      </c>
      <c r="O35" s="13">
        <f t="shared" si="0"/>
        <v>23.774999999999999</v>
      </c>
      <c r="P35" s="13">
        <f>_xlfn.XLOOKUP(Orders[[#This Row],[Product ID]],products!$A$1:$A$49,products!$G$1:$G$49,,0)</f>
        <v>0.61814999999999998</v>
      </c>
      <c r="Q35" s="13">
        <f t="shared" si="1"/>
        <v>3.0907499999999999</v>
      </c>
      <c r="R35" t="str">
        <f t="shared" si="2"/>
        <v>Liberica</v>
      </c>
      <c r="S35" t="str">
        <f t="shared" si="3"/>
        <v>Light</v>
      </c>
      <c r="T35" t="str">
        <f>_xlfn.XLOOKUP(Orders[[#This Row],[Customer ID]],customers!$A$1:$A$1001,customers!$I$1:$I$1001,,0)</f>
        <v>No</v>
      </c>
    </row>
    <row r="36" spans="1:20" x14ac:dyDescent="0.35">
      <c r="A36" s="2" t="s">
        <v>681</v>
      </c>
      <c r="B36" s="3">
        <v>44011</v>
      </c>
      <c r="C36" s="2" t="s">
        <v>682</v>
      </c>
      <c r="D36" t="s">
        <v>6161</v>
      </c>
      <c r="E36" t="str">
        <f t="shared" si="4"/>
        <v>Liberica-Light-0.5</v>
      </c>
      <c r="F36" s="2">
        <v>6</v>
      </c>
      <c r="G36" s="2" t="str" cm="1">
        <f t="array" ref="G36">_xlfn.XLOOKUP(C36, customers!$A$1:A1035,customers!$B$1:B1035,,0)</f>
        <v>Una Welberry</v>
      </c>
      <c r="H36" s="2" t="str" cm="1">
        <f t="array" ref="H36">IF(_xlfn.XLOOKUP(C36,customers!$A$1:A1035,customers!$C$1:C1035,,0) = 0,"", _xlfn.XLOOKUP(C36,customers!$A$1:A1035,customers!$C$1:C1035,,0))</f>
        <v>uwelberryy@ebay.co.uk</v>
      </c>
      <c r="I36" s="2" t="str">
        <f>_xlfn.XLOOKUP(C36,customers!$A$1:$A$1001,customers!$G$1:$G$1001,,0)</f>
        <v>United Kingdom</v>
      </c>
      <c r="J36" s="2" t="str">
        <f>_xlfn.XLOOKUP(Orders[[#This Row],[Customer ID]],customers!$A$1:$A$1001,customers!$F$1:$F$1001,,0)</f>
        <v>Upton</v>
      </c>
      <c r="K36" t="str">
        <f>INDEX(products!$A$1:$G$49,MATCH(orders!$D36,products!$A$1:$A$49,0),MATCH(orders!K$1,products!$A$1:$G$1,0))</f>
        <v>Lib</v>
      </c>
      <c r="L36" t="str">
        <f>INDEX(products!$A$1:$G$49,MATCH(orders!$D36,products!$A$1:$A$49,0),MATCH(orders!L$1,products!$A$1:$G$1,0))</f>
        <v>L</v>
      </c>
      <c r="M36" s="14">
        <f>INDEX(products!$A$1:$G$49,MATCH(orders!$D36,products!$A$1:$A$49,0),MATCH(orders!M$1,products!$A$1:$G$1,0))</f>
        <v>0.5</v>
      </c>
      <c r="N36" s="4">
        <f>INDEX(products!$A$1:$G$49,MATCH(orders!$D36,products!$A$1:$A$49,0),MATCH(orders!N$1,products!$A$1:$G$1,0))</f>
        <v>9.51</v>
      </c>
      <c r="O36" s="13">
        <f t="shared" si="0"/>
        <v>57.06</v>
      </c>
      <c r="P36" s="13">
        <f>_xlfn.XLOOKUP(Orders[[#This Row],[Product ID]],products!$A$1:$A$49,products!$G$1:$G$49,,0)</f>
        <v>1.2363</v>
      </c>
      <c r="Q36" s="13">
        <f t="shared" si="1"/>
        <v>7.4177999999999997</v>
      </c>
      <c r="R36" t="str">
        <f t="shared" si="2"/>
        <v>Liberica</v>
      </c>
      <c r="S36" t="str">
        <f t="shared" si="3"/>
        <v>Light</v>
      </c>
      <c r="T36" t="str">
        <f>_xlfn.XLOOKUP(Orders[[#This Row],[Customer ID]],customers!$A$1:$A$1001,customers!$I$1:$I$1001,,0)</f>
        <v>Yes</v>
      </c>
    </row>
    <row r="37" spans="1:20" x14ac:dyDescent="0.35">
      <c r="A37" s="2" t="s">
        <v>687</v>
      </c>
      <c r="B37" s="3">
        <v>44348</v>
      </c>
      <c r="C37" s="2" t="s">
        <v>688</v>
      </c>
      <c r="D37" t="s">
        <v>6158</v>
      </c>
      <c r="E37" t="str">
        <f t="shared" si="4"/>
        <v>Arabica-Dark-0.5</v>
      </c>
      <c r="F37" s="2">
        <v>6</v>
      </c>
      <c r="G37" s="2" t="str" cm="1">
        <f t="array" ref="G37">_xlfn.XLOOKUP(C37, customers!$A$1:A1036,customers!$B$1:B1036,,0)</f>
        <v>Faber Eilhart</v>
      </c>
      <c r="H37" s="2" t="str" cm="1">
        <f t="array" ref="H37">IF(_xlfn.XLOOKUP(C37,customers!$A$1:A1036,customers!$C$1:C1036,,0) = 0,"", _xlfn.XLOOKUP(C37,customers!$A$1:A1036,customers!$C$1:C1036,,0))</f>
        <v>feilhartz@who.int</v>
      </c>
      <c r="I37" s="2" t="str">
        <f>_xlfn.XLOOKUP(C37,customers!$A$1:$A$1001,customers!$G$1:$G$1001,,0)</f>
        <v>United States</v>
      </c>
      <c r="J37" s="2" t="str">
        <f>_xlfn.XLOOKUP(Orders[[#This Row],[Customer ID]],customers!$A$1:$A$1001,customers!$F$1:$F$1001,,0)</f>
        <v>Charleston</v>
      </c>
      <c r="K37" t="str">
        <f>INDEX(products!$A$1:$G$49,MATCH(orders!$D37,products!$A$1:$A$49,0),MATCH(orders!K$1,products!$A$1:$G$1,0))</f>
        <v>Ara</v>
      </c>
      <c r="L37" t="str">
        <f>INDEX(products!$A$1:$G$49,MATCH(orders!$D37,products!$A$1:$A$49,0),MATCH(orders!L$1,products!$A$1:$G$1,0))</f>
        <v>D</v>
      </c>
      <c r="M37" s="14">
        <f>INDEX(products!$A$1:$G$49,MATCH(orders!$D37,products!$A$1:$A$49,0),MATCH(orders!M$1,products!$A$1:$G$1,0))</f>
        <v>0.5</v>
      </c>
      <c r="N37" s="4">
        <f>INDEX(products!$A$1:$G$49,MATCH(orders!$D37,products!$A$1:$A$49,0),MATCH(orders!N$1,products!$A$1:$G$1,0))</f>
        <v>5.97</v>
      </c>
      <c r="O37" s="13">
        <f t="shared" si="0"/>
        <v>35.82</v>
      </c>
      <c r="P37" s="13">
        <f>_xlfn.XLOOKUP(Orders[[#This Row],[Product ID]],products!$A$1:$A$49,products!$G$1:$G$49,,0)</f>
        <v>0.5373</v>
      </c>
      <c r="Q37" s="13">
        <f t="shared" si="1"/>
        <v>3.2237999999999998</v>
      </c>
      <c r="R37" t="str">
        <f t="shared" si="2"/>
        <v>Arabica</v>
      </c>
      <c r="S37" t="str">
        <f t="shared" si="3"/>
        <v>Dark</v>
      </c>
      <c r="T37" t="str">
        <f>_xlfn.XLOOKUP(Orders[[#This Row],[Customer ID]],customers!$A$1:$A$1001,customers!$I$1:$I$1001,,0)</f>
        <v>No</v>
      </c>
    </row>
    <row r="38" spans="1:20" x14ac:dyDescent="0.35">
      <c r="A38" s="2" t="s">
        <v>693</v>
      </c>
      <c r="B38" s="3">
        <v>44233</v>
      </c>
      <c r="C38" s="2" t="s">
        <v>694</v>
      </c>
      <c r="D38" t="s">
        <v>6159</v>
      </c>
      <c r="E38" t="str">
        <f t="shared" si="4"/>
        <v>Liberica-Medium-0.2</v>
      </c>
      <c r="F38" s="2">
        <v>2</v>
      </c>
      <c r="G38" s="2" t="str" cm="1">
        <f t="array" ref="G38">_xlfn.XLOOKUP(C38, customers!$A$1:A1037,customers!$B$1:B1037,,0)</f>
        <v>Zorina Ponting</v>
      </c>
      <c r="H38" s="2" t="str" cm="1">
        <f t="array" ref="H38">IF(_xlfn.XLOOKUP(C38,customers!$A$1:A1037,customers!$C$1:C1037,,0) = 0,"", _xlfn.XLOOKUP(C38,customers!$A$1:A1037,customers!$C$1:C1037,,0))</f>
        <v>zponting10@altervista.org</v>
      </c>
      <c r="I38" s="2" t="str">
        <f>_xlfn.XLOOKUP(C38,customers!$A$1:$A$1001,customers!$G$1:$G$1001,,0)</f>
        <v>United States</v>
      </c>
      <c r="J38" s="2" t="str">
        <f>_xlfn.XLOOKUP(Orders[[#This Row],[Customer ID]],customers!$A$1:$A$1001,customers!$F$1:$F$1001,,0)</f>
        <v>Little Rock</v>
      </c>
      <c r="K38" t="str">
        <f>INDEX(products!$A$1:$G$49,MATCH(orders!$D38,products!$A$1:$A$49,0),MATCH(orders!K$1,products!$A$1:$G$1,0))</f>
        <v>Lib</v>
      </c>
      <c r="L38" t="str">
        <f>INDEX(products!$A$1:$G$49,MATCH(orders!$D38,products!$A$1:$A$49,0),MATCH(orders!L$1,products!$A$1:$G$1,0))</f>
        <v>M</v>
      </c>
      <c r="M38" s="14">
        <f>INDEX(products!$A$1:$G$49,MATCH(orders!$D38,products!$A$1:$A$49,0),MATCH(orders!M$1,products!$A$1:$G$1,0))</f>
        <v>0.2</v>
      </c>
      <c r="N38" s="4">
        <f>INDEX(products!$A$1:$G$49,MATCH(orders!$D38,products!$A$1:$A$49,0),MATCH(orders!N$1,products!$A$1:$G$1,0))</f>
        <v>4.3650000000000002</v>
      </c>
      <c r="O38" s="13">
        <f t="shared" si="0"/>
        <v>8.73</v>
      </c>
      <c r="P38" s="13">
        <f>_xlfn.XLOOKUP(Orders[[#This Row],[Product ID]],products!$A$1:$A$49,products!$G$1:$G$49,,0)</f>
        <v>0.56745000000000001</v>
      </c>
      <c r="Q38" s="13">
        <f t="shared" si="1"/>
        <v>1.1349</v>
      </c>
      <c r="R38" t="str">
        <f t="shared" si="2"/>
        <v>Liberica</v>
      </c>
      <c r="S38" t="str">
        <f t="shared" si="3"/>
        <v>Medium</v>
      </c>
      <c r="T38" t="str">
        <f>_xlfn.XLOOKUP(Orders[[#This Row],[Customer ID]],customers!$A$1:$A$1001,customers!$I$1:$I$1001,,0)</f>
        <v>No</v>
      </c>
    </row>
    <row r="39" spans="1:20" x14ac:dyDescent="0.35">
      <c r="A39" s="2" t="s">
        <v>699</v>
      </c>
      <c r="B39" s="3">
        <v>43580</v>
      </c>
      <c r="C39" s="2" t="s">
        <v>700</v>
      </c>
      <c r="D39" t="s">
        <v>6161</v>
      </c>
      <c r="E39" t="str">
        <f t="shared" si="4"/>
        <v>Liberica-Light-0.5</v>
      </c>
      <c r="F39" s="2">
        <v>3</v>
      </c>
      <c r="G39" s="2" t="str" cm="1">
        <f t="array" ref="G39">_xlfn.XLOOKUP(C39, customers!$A$1:A1038,customers!$B$1:B1038,,0)</f>
        <v>Silvio Strase</v>
      </c>
      <c r="H39" s="2" t="str" cm="1">
        <f t="array" ref="H39">IF(_xlfn.XLOOKUP(C39,customers!$A$1:A1038,customers!$C$1:C1038,,0) = 0,"", _xlfn.XLOOKUP(C39,customers!$A$1:A1038,customers!$C$1:C1038,,0))</f>
        <v>sstrase11@booking.com</v>
      </c>
      <c r="I39" s="2" t="str">
        <f>_xlfn.XLOOKUP(C39,customers!$A$1:$A$1001,customers!$G$1:$G$1001,,0)</f>
        <v>United States</v>
      </c>
      <c r="J39" s="2" t="str">
        <f>_xlfn.XLOOKUP(Orders[[#This Row],[Customer ID]],customers!$A$1:$A$1001,customers!$F$1:$F$1001,,0)</f>
        <v>Denver</v>
      </c>
      <c r="K39" t="str">
        <f>INDEX(products!$A$1:$G$49,MATCH(orders!$D39,products!$A$1:$A$49,0),MATCH(orders!K$1,products!$A$1:$G$1,0))</f>
        <v>Lib</v>
      </c>
      <c r="L39" t="str">
        <f>INDEX(products!$A$1:$G$49,MATCH(orders!$D39,products!$A$1:$A$49,0),MATCH(orders!L$1,products!$A$1:$G$1,0))</f>
        <v>L</v>
      </c>
      <c r="M39" s="14">
        <f>INDEX(products!$A$1:$G$49,MATCH(orders!$D39,products!$A$1:$A$49,0),MATCH(orders!M$1,products!$A$1:$G$1,0))</f>
        <v>0.5</v>
      </c>
      <c r="N39" s="4">
        <f>INDEX(products!$A$1:$G$49,MATCH(orders!$D39,products!$A$1:$A$49,0),MATCH(orders!N$1,products!$A$1:$G$1,0))</f>
        <v>9.51</v>
      </c>
      <c r="O39" s="13">
        <f t="shared" si="0"/>
        <v>28.53</v>
      </c>
      <c r="P39" s="13">
        <f>_xlfn.XLOOKUP(Orders[[#This Row],[Product ID]],products!$A$1:$A$49,products!$G$1:$G$49,,0)</f>
        <v>1.2363</v>
      </c>
      <c r="Q39" s="13">
        <f t="shared" si="1"/>
        <v>3.7088999999999999</v>
      </c>
      <c r="R39" t="str">
        <f t="shared" si="2"/>
        <v>Liberica</v>
      </c>
      <c r="S39" t="str">
        <f t="shared" si="3"/>
        <v>Light</v>
      </c>
      <c r="T39" t="str">
        <f>_xlfn.XLOOKUP(Orders[[#This Row],[Customer ID]],customers!$A$1:$A$1001,customers!$I$1:$I$1001,,0)</f>
        <v>No</v>
      </c>
    </row>
    <row r="40" spans="1:20" x14ac:dyDescent="0.35">
      <c r="A40" s="2" t="s">
        <v>705</v>
      </c>
      <c r="B40" s="3">
        <v>43946</v>
      </c>
      <c r="C40" s="2" t="s">
        <v>706</v>
      </c>
      <c r="D40" t="s">
        <v>6151</v>
      </c>
      <c r="E40" t="str">
        <f t="shared" si="4"/>
        <v>Robusta-Medium-2.5</v>
      </c>
      <c r="F40" s="2">
        <v>5</v>
      </c>
      <c r="G40" s="2" t="str" cm="1">
        <f t="array" ref="G40">_xlfn.XLOOKUP(C40, customers!$A$1:A1039,customers!$B$1:B1039,,0)</f>
        <v>Dorie de la Tremoille</v>
      </c>
      <c r="H40" s="2" t="str" cm="1">
        <f t="array" ref="H40">IF(_xlfn.XLOOKUP(C40,customers!$A$1:A1039,customers!$C$1:C1039,,0) = 0,"", _xlfn.XLOOKUP(C40,customers!$A$1:A1039,customers!$C$1:C1039,,0))</f>
        <v>dde12@unesco.org</v>
      </c>
      <c r="I40" s="2" t="str">
        <f>_xlfn.XLOOKUP(C40,customers!$A$1:$A$1001,customers!$G$1:$G$1001,,0)</f>
        <v>United States</v>
      </c>
      <c r="J40" s="2" t="str">
        <f>_xlfn.XLOOKUP(Orders[[#This Row],[Customer ID]],customers!$A$1:$A$1001,customers!$F$1:$F$1001,,0)</f>
        <v>Minneapolis</v>
      </c>
      <c r="K40" t="str">
        <f>INDEX(products!$A$1:$G$49,MATCH(orders!$D40,products!$A$1:$A$49,0),MATCH(orders!K$1,products!$A$1:$G$1,0))</f>
        <v>Rob</v>
      </c>
      <c r="L40" t="str">
        <f>INDEX(products!$A$1:$G$49,MATCH(orders!$D40,products!$A$1:$A$49,0),MATCH(orders!L$1,products!$A$1:$G$1,0))</f>
        <v>M</v>
      </c>
      <c r="M40" s="14">
        <f>INDEX(products!$A$1:$G$49,MATCH(orders!$D40,products!$A$1:$A$49,0),MATCH(orders!M$1,products!$A$1:$G$1,0))</f>
        <v>2.5</v>
      </c>
      <c r="N40" s="4">
        <f>INDEX(products!$A$1:$G$49,MATCH(orders!$D40,products!$A$1:$A$49,0),MATCH(orders!N$1,products!$A$1:$G$1,0))</f>
        <v>22.884999999999998</v>
      </c>
      <c r="O40" s="13">
        <f t="shared" si="0"/>
        <v>114.42499999999998</v>
      </c>
      <c r="P40" s="13">
        <f>_xlfn.XLOOKUP(Orders[[#This Row],[Product ID]],products!$A$1:$A$49,products!$G$1:$G$49,,0)</f>
        <v>1.3730999999999998</v>
      </c>
      <c r="Q40" s="13">
        <f t="shared" si="1"/>
        <v>6.865499999999999</v>
      </c>
      <c r="R40" t="str">
        <f t="shared" si="2"/>
        <v>Robusta</v>
      </c>
      <c r="S40" t="str">
        <f t="shared" si="3"/>
        <v>Medium</v>
      </c>
      <c r="T40" t="str">
        <f>_xlfn.XLOOKUP(Orders[[#This Row],[Customer ID]],customers!$A$1:$A$1001,customers!$I$1:$I$1001,,0)</f>
        <v>No</v>
      </c>
    </row>
    <row r="41" spans="1:20" x14ac:dyDescent="0.35">
      <c r="A41" s="2" t="s">
        <v>711</v>
      </c>
      <c r="B41" s="3">
        <v>44524</v>
      </c>
      <c r="C41" s="2" t="s">
        <v>712</v>
      </c>
      <c r="D41" t="s">
        <v>6138</v>
      </c>
      <c r="E41" t="str">
        <f t="shared" si="4"/>
        <v>Robusta-Medium-1</v>
      </c>
      <c r="F41" s="2">
        <v>6</v>
      </c>
      <c r="G41" s="2" t="str" cm="1">
        <f t="array" ref="G41">_xlfn.XLOOKUP(C41, customers!$A$1:A1040,customers!$B$1:B1040,,0)</f>
        <v>Hy Zanetto</v>
      </c>
      <c r="H41" s="2" t="str" cm="1">
        <f t="array" ref="H41">IF(_xlfn.XLOOKUP(C41,customers!$A$1:A1040,customers!$C$1:C1040,,0) = 0,"", _xlfn.XLOOKUP(C41,customers!$A$1:A1040,customers!$C$1:C1040,,0))</f>
        <v/>
      </c>
      <c r="I41" s="2" t="str">
        <f>_xlfn.XLOOKUP(C41,customers!$A$1:$A$1001,customers!$G$1:$G$1001,,0)</f>
        <v>United States</v>
      </c>
      <c r="J41" s="2" t="str">
        <f>_xlfn.XLOOKUP(Orders[[#This Row],[Customer ID]],customers!$A$1:$A$1001,customers!$F$1:$F$1001,,0)</f>
        <v>Tucson</v>
      </c>
      <c r="K41" t="str">
        <f>INDEX(products!$A$1:$G$49,MATCH(orders!$D41,products!$A$1:$A$49,0),MATCH(orders!K$1,products!$A$1:$G$1,0))</f>
        <v>Rob</v>
      </c>
      <c r="L41" t="str">
        <f>INDEX(products!$A$1:$G$49,MATCH(orders!$D41,products!$A$1:$A$49,0),MATCH(orders!L$1,products!$A$1:$G$1,0))</f>
        <v>M</v>
      </c>
      <c r="M41" s="14">
        <f>INDEX(products!$A$1:$G$49,MATCH(orders!$D41,products!$A$1:$A$49,0),MATCH(orders!M$1,products!$A$1:$G$1,0))</f>
        <v>1</v>
      </c>
      <c r="N41" s="4">
        <f>INDEX(products!$A$1:$G$49,MATCH(orders!$D41,products!$A$1:$A$49,0),MATCH(orders!N$1,products!$A$1:$G$1,0))</f>
        <v>9.9499999999999993</v>
      </c>
      <c r="O41" s="13">
        <f t="shared" si="0"/>
        <v>59.699999999999996</v>
      </c>
      <c r="P41" s="13">
        <f>_xlfn.XLOOKUP(Orders[[#This Row],[Product ID]],products!$A$1:$A$49,products!$G$1:$G$49,,0)</f>
        <v>0.59699999999999998</v>
      </c>
      <c r="Q41" s="13">
        <f t="shared" si="1"/>
        <v>3.5819999999999999</v>
      </c>
      <c r="R41" t="str">
        <f t="shared" si="2"/>
        <v>Robusta</v>
      </c>
      <c r="S41" t="str">
        <f t="shared" si="3"/>
        <v>Medium</v>
      </c>
      <c r="T41" t="str">
        <f>_xlfn.XLOOKUP(Orders[[#This Row],[Customer ID]],customers!$A$1:$A$1001,customers!$I$1:$I$1001,,0)</f>
        <v>Yes</v>
      </c>
    </row>
    <row r="42" spans="1:20" x14ac:dyDescent="0.35">
      <c r="A42" s="2" t="s">
        <v>715</v>
      </c>
      <c r="B42" s="3">
        <v>44305</v>
      </c>
      <c r="C42" s="2" t="s">
        <v>716</v>
      </c>
      <c r="D42" t="s">
        <v>6162</v>
      </c>
      <c r="E42" t="str">
        <f t="shared" si="4"/>
        <v>Liberica-Medium-1</v>
      </c>
      <c r="F42" s="2">
        <v>3</v>
      </c>
      <c r="G42" s="2" t="str" cm="1">
        <f t="array" ref="G42">_xlfn.XLOOKUP(C42, customers!$A$1:A1041,customers!$B$1:B1041,,0)</f>
        <v>Jessica McNess</v>
      </c>
      <c r="H42" s="2" t="str" cm="1">
        <f t="array" ref="H42">IF(_xlfn.XLOOKUP(C42,customers!$A$1:A1041,customers!$C$1:C1041,,0) = 0,"", _xlfn.XLOOKUP(C42,customers!$A$1:A1041,customers!$C$1:C1041,,0))</f>
        <v/>
      </c>
      <c r="I42" s="2" t="str">
        <f>_xlfn.XLOOKUP(C42,customers!$A$1:$A$1001,customers!$G$1:$G$1001,,0)</f>
        <v>United States</v>
      </c>
      <c r="J42" s="2" t="str">
        <f>_xlfn.XLOOKUP(Orders[[#This Row],[Customer ID]],customers!$A$1:$A$1001,customers!$F$1:$F$1001,,0)</f>
        <v>New Orleans</v>
      </c>
      <c r="K42" t="str">
        <f>INDEX(products!$A$1:$G$49,MATCH(orders!$D42,products!$A$1:$A$49,0),MATCH(orders!K$1,products!$A$1:$G$1,0))</f>
        <v>Lib</v>
      </c>
      <c r="L42" t="str">
        <f>INDEX(products!$A$1:$G$49,MATCH(orders!$D42,products!$A$1:$A$49,0),MATCH(orders!L$1,products!$A$1:$G$1,0))</f>
        <v>M</v>
      </c>
      <c r="M42" s="14">
        <f>INDEX(products!$A$1:$G$49,MATCH(orders!$D42,products!$A$1:$A$49,0),MATCH(orders!M$1,products!$A$1:$G$1,0))</f>
        <v>1</v>
      </c>
      <c r="N42" s="4">
        <f>INDEX(products!$A$1:$G$49,MATCH(orders!$D42,products!$A$1:$A$49,0),MATCH(orders!N$1,products!$A$1:$G$1,0))</f>
        <v>14.55</v>
      </c>
      <c r="O42" s="13">
        <f t="shared" si="0"/>
        <v>43.650000000000006</v>
      </c>
      <c r="P42" s="13">
        <f>_xlfn.XLOOKUP(Orders[[#This Row],[Product ID]],products!$A$1:$A$49,products!$G$1:$G$49,,0)</f>
        <v>1.8915000000000002</v>
      </c>
      <c r="Q42" s="13">
        <f t="shared" si="1"/>
        <v>5.6745000000000001</v>
      </c>
      <c r="R42" t="str">
        <f t="shared" si="2"/>
        <v>Liberica</v>
      </c>
      <c r="S42" t="str">
        <f t="shared" si="3"/>
        <v>Medium</v>
      </c>
      <c r="T42" t="str">
        <f>_xlfn.XLOOKUP(Orders[[#This Row],[Customer ID]],customers!$A$1:$A$1001,customers!$I$1:$I$1001,,0)</f>
        <v>No</v>
      </c>
    </row>
    <row r="43" spans="1:20" x14ac:dyDescent="0.35">
      <c r="A43" s="2" t="s">
        <v>720</v>
      </c>
      <c r="B43" s="3">
        <v>44749</v>
      </c>
      <c r="C43" s="2" t="s">
        <v>721</v>
      </c>
      <c r="D43" t="s">
        <v>6153</v>
      </c>
      <c r="E43" t="str">
        <f t="shared" si="4"/>
        <v>Excelsa-Dark-0.2</v>
      </c>
      <c r="F43" s="2">
        <v>2</v>
      </c>
      <c r="G43" s="2" t="str" cm="1">
        <f t="array" ref="G43">_xlfn.XLOOKUP(C43, customers!$A$1:A1042,customers!$B$1:B1042,,0)</f>
        <v>Lorenzo Yeoland</v>
      </c>
      <c r="H43" s="2" t="str" cm="1">
        <f t="array" ref="H43">IF(_xlfn.XLOOKUP(C43,customers!$A$1:A1042,customers!$C$1:C1042,,0) = 0,"", _xlfn.XLOOKUP(C43,customers!$A$1:A1042,customers!$C$1:C1042,,0))</f>
        <v>lyeoland15@pbs.org</v>
      </c>
      <c r="I43" s="2" t="str">
        <f>_xlfn.XLOOKUP(C43,customers!$A$1:$A$1001,customers!$G$1:$G$1001,,0)</f>
        <v>United States</v>
      </c>
      <c r="J43" s="2" t="str">
        <f>_xlfn.XLOOKUP(Orders[[#This Row],[Customer ID]],customers!$A$1:$A$1001,customers!$F$1:$F$1001,,0)</f>
        <v>Hartford</v>
      </c>
      <c r="K43" t="str">
        <f>INDEX(products!$A$1:$G$49,MATCH(orders!$D43,products!$A$1:$A$49,0),MATCH(orders!K$1,products!$A$1:$G$1,0))</f>
        <v>Exc</v>
      </c>
      <c r="L43" t="str">
        <f>INDEX(products!$A$1:$G$49,MATCH(orders!$D43,products!$A$1:$A$49,0),MATCH(orders!L$1,products!$A$1:$G$1,0))</f>
        <v>D</v>
      </c>
      <c r="M43" s="14">
        <f>INDEX(products!$A$1:$G$49,MATCH(orders!$D43,products!$A$1:$A$49,0),MATCH(orders!M$1,products!$A$1:$G$1,0))</f>
        <v>0.2</v>
      </c>
      <c r="N43" s="4">
        <f>INDEX(products!$A$1:$G$49,MATCH(orders!$D43,products!$A$1:$A$49,0),MATCH(orders!N$1,products!$A$1:$G$1,0))</f>
        <v>3.645</v>
      </c>
      <c r="O43" s="13">
        <f t="shared" si="0"/>
        <v>7.29</v>
      </c>
      <c r="P43" s="13">
        <f>_xlfn.XLOOKUP(Orders[[#This Row],[Product ID]],products!$A$1:$A$49,products!$G$1:$G$49,,0)</f>
        <v>0.40095000000000003</v>
      </c>
      <c r="Q43" s="13">
        <f t="shared" si="1"/>
        <v>0.80190000000000006</v>
      </c>
      <c r="R43" t="str">
        <f t="shared" si="2"/>
        <v>Execelsa</v>
      </c>
      <c r="S43" t="str">
        <f t="shared" si="3"/>
        <v>Dark</v>
      </c>
      <c r="T43" t="str">
        <f>_xlfn.XLOOKUP(Orders[[#This Row],[Customer ID]],customers!$A$1:$A$1001,customers!$I$1:$I$1001,,0)</f>
        <v>Yes</v>
      </c>
    </row>
    <row r="44" spans="1:20" x14ac:dyDescent="0.35">
      <c r="A44" s="2" t="s">
        <v>726</v>
      </c>
      <c r="B44" s="3">
        <v>43607</v>
      </c>
      <c r="C44" s="2" t="s">
        <v>727</v>
      </c>
      <c r="D44" t="s">
        <v>6163</v>
      </c>
      <c r="E44" t="str">
        <f t="shared" si="4"/>
        <v>Robusta-Dark-0.2</v>
      </c>
      <c r="F44" s="2">
        <v>3</v>
      </c>
      <c r="G44" s="2" t="str" cm="1">
        <f t="array" ref="G44">_xlfn.XLOOKUP(C44, customers!$A$1:A1043,customers!$B$1:B1043,,0)</f>
        <v>Abigail Tolworthy</v>
      </c>
      <c r="H44" s="2" t="str" cm="1">
        <f t="array" ref="H44">IF(_xlfn.XLOOKUP(C44,customers!$A$1:A1043,customers!$C$1:C1043,,0) = 0,"", _xlfn.XLOOKUP(C44,customers!$A$1:A1043,customers!$C$1:C1043,,0))</f>
        <v>atolworthy16@toplist.cz</v>
      </c>
      <c r="I44" s="2" t="str">
        <f>_xlfn.XLOOKUP(C44,customers!$A$1:$A$1001,customers!$G$1:$G$1001,,0)</f>
        <v>United States</v>
      </c>
      <c r="J44" s="2" t="str">
        <f>_xlfn.XLOOKUP(Orders[[#This Row],[Customer ID]],customers!$A$1:$A$1001,customers!$F$1:$F$1001,,0)</f>
        <v>Ogden</v>
      </c>
      <c r="K44" t="str">
        <f>INDEX(products!$A$1:$G$49,MATCH(orders!$D44,products!$A$1:$A$49,0),MATCH(orders!K$1,products!$A$1:$G$1,0))</f>
        <v>Rob</v>
      </c>
      <c r="L44" t="str">
        <f>INDEX(products!$A$1:$G$49,MATCH(orders!$D44,products!$A$1:$A$49,0),MATCH(orders!L$1,products!$A$1:$G$1,0))</f>
        <v>D</v>
      </c>
      <c r="M44" s="14">
        <f>INDEX(products!$A$1:$G$49,MATCH(orders!$D44,products!$A$1:$A$49,0),MATCH(orders!M$1,products!$A$1:$G$1,0))</f>
        <v>0.2</v>
      </c>
      <c r="N44" s="4">
        <f>INDEX(products!$A$1:$G$49,MATCH(orders!$D44,products!$A$1:$A$49,0),MATCH(orders!N$1,products!$A$1:$G$1,0))</f>
        <v>2.6849999999999996</v>
      </c>
      <c r="O44" s="13">
        <f t="shared" si="0"/>
        <v>8.0549999999999997</v>
      </c>
      <c r="P44" s="13">
        <f>_xlfn.XLOOKUP(Orders[[#This Row],[Product ID]],products!$A$1:$A$49,products!$G$1:$G$49,,0)</f>
        <v>0.16109999999999997</v>
      </c>
      <c r="Q44" s="13">
        <f t="shared" si="1"/>
        <v>0.4832999999999999</v>
      </c>
      <c r="R44" t="str">
        <f t="shared" si="2"/>
        <v>Robusta</v>
      </c>
      <c r="S44" t="str">
        <f t="shared" si="3"/>
        <v>Dark</v>
      </c>
      <c r="T44" t="str">
        <f>_xlfn.XLOOKUP(Orders[[#This Row],[Customer ID]],customers!$A$1:$A$1001,customers!$I$1:$I$1001,,0)</f>
        <v>Yes</v>
      </c>
    </row>
    <row r="45" spans="1:20" x14ac:dyDescent="0.35">
      <c r="A45" s="2" t="s">
        <v>733</v>
      </c>
      <c r="B45" s="3">
        <v>44473</v>
      </c>
      <c r="C45" s="2" t="s">
        <v>734</v>
      </c>
      <c r="D45" t="s">
        <v>6164</v>
      </c>
      <c r="E45" t="str">
        <f t="shared" si="4"/>
        <v>Liberica-Light-2.5</v>
      </c>
      <c r="F45" s="2">
        <v>2</v>
      </c>
      <c r="G45" s="2" t="str" cm="1">
        <f t="array" ref="G45">_xlfn.XLOOKUP(C45, customers!$A$1:A1044,customers!$B$1:B1044,,0)</f>
        <v>Maurie Bartol</v>
      </c>
      <c r="H45" s="2" t="str" cm="1">
        <f t="array" ref="H45">IF(_xlfn.XLOOKUP(C45,customers!$A$1:A1044,customers!$C$1:C1044,,0) = 0,"", _xlfn.XLOOKUP(C45,customers!$A$1:A1044,customers!$C$1:C1044,,0))</f>
        <v/>
      </c>
      <c r="I45" s="2" t="str">
        <f>_xlfn.XLOOKUP(C45,customers!$A$1:$A$1001,customers!$G$1:$G$1001,,0)</f>
        <v>United States</v>
      </c>
      <c r="J45" s="2" t="str">
        <f>_xlfn.XLOOKUP(Orders[[#This Row],[Customer ID]],customers!$A$1:$A$1001,customers!$F$1:$F$1001,,0)</f>
        <v>Boston</v>
      </c>
      <c r="K45" t="str">
        <f>INDEX(products!$A$1:$G$49,MATCH(orders!$D45,products!$A$1:$A$49,0),MATCH(orders!K$1,products!$A$1:$G$1,0))</f>
        <v>Lib</v>
      </c>
      <c r="L45" t="str">
        <f>INDEX(products!$A$1:$G$49,MATCH(orders!$D45,products!$A$1:$A$49,0),MATCH(orders!L$1,products!$A$1:$G$1,0))</f>
        <v>L</v>
      </c>
      <c r="M45" s="14">
        <f>INDEX(products!$A$1:$G$49,MATCH(orders!$D45,products!$A$1:$A$49,0),MATCH(orders!M$1,products!$A$1:$G$1,0))</f>
        <v>2.5</v>
      </c>
      <c r="N45" s="4">
        <f>INDEX(products!$A$1:$G$49,MATCH(orders!$D45,products!$A$1:$A$49,0),MATCH(orders!N$1,products!$A$1:$G$1,0))</f>
        <v>36.454999999999998</v>
      </c>
      <c r="O45" s="13">
        <f t="shared" si="0"/>
        <v>72.91</v>
      </c>
      <c r="P45" s="13">
        <f>_xlfn.XLOOKUP(Orders[[#This Row],[Product ID]],products!$A$1:$A$49,products!$G$1:$G$49,,0)</f>
        <v>4.7391499999999995</v>
      </c>
      <c r="Q45" s="13">
        <f t="shared" si="1"/>
        <v>9.4782999999999991</v>
      </c>
      <c r="R45" t="str">
        <f t="shared" si="2"/>
        <v>Liberica</v>
      </c>
      <c r="S45" t="str">
        <f t="shared" si="3"/>
        <v>Light</v>
      </c>
      <c r="T45" t="str">
        <f>_xlfn.XLOOKUP(Orders[[#This Row],[Customer ID]],customers!$A$1:$A$1001,customers!$I$1:$I$1001,,0)</f>
        <v>No</v>
      </c>
    </row>
    <row r="46" spans="1:20" x14ac:dyDescent="0.35">
      <c r="A46" s="2" t="s">
        <v>738</v>
      </c>
      <c r="B46" s="3">
        <v>43932</v>
      </c>
      <c r="C46" s="2" t="s">
        <v>739</v>
      </c>
      <c r="D46" t="s">
        <v>6139</v>
      </c>
      <c r="E46" t="str">
        <f t="shared" si="4"/>
        <v>Excelsa-Medium-0.5</v>
      </c>
      <c r="F46" s="2">
        <v>2</v>
      </c>
      <c r="G46" s="2" t="str" cm="1">
        <f t="array" ref="G46">_xlfn.XLOOKUP(C46, customers!$A$1:A1045,customers!$B$1:B1045,,0)</f>
        <v>Olag Baudassi</v>
      </c>
      <c r="H46" s="2" t="str" cm="1">
        <f t="array" ref="H46">IF(_xlfn.XLOOKUP(C46,customers!$A$1:A1045,customers!$C$1:C1045,,0) = 0,"", _xlfn.XLOOKUP(C46,customers!$A$1:A1045,customers!$C$1:C1045,,0))</f>
        <v>obaudassi18@seesaa.net</v>
      </c>
      <c r="I46" s="2" t="str">
        <f>_xlfn.XLOOKUP(C46,customers!$A$1:$A$1001,customers!$G$1:$G$1001,,0)</f>
        <v>United States</v>
      </c>
      <c r="J46" s="2" t="str">
        <f>_xlfn.XLOOKUP(Orders[[#This Row],[Customer ID]],customers!$A$1:$A$1001,customers!$F$1:$F$1001,,0)</f>
        <v>Rochester</v>
      </c>
      <c r="K46" t="str">
        <f>INDEX(products!$A$1:$G$49,MATCH(orders!$D46,products!$A$1:$A$49,0),MATCH(orders!K$1,products!$A$1:$G$1,0))</f>
        <v>Exc</v>
      </c>
      <c r="L46" t="str">
        <f>INDEX(products!$A$1:$G$49,MATCH(orders!$D46,products!$A$1:$A$49,0),MATCH(orders!L$1,products!$A$1:$G$1,0))</f>
        <v>M</v>
      </c>
      <c r="M46" s="14">
        <f>INDEX(products!$A$1:$G$49,MATCH(orders!$D46,products!$A$1:$A$49,0),MATCH(orders!M$1,products!$A$1:$G$1,0))</f>
        <v>0.5</v>
      </c>
      <c r="N46" s="4">
        <f>INDEX(products!$A$1:$G$49,MATCH(orders!$D46,products!$A$1:$A$49,0),MATCH(orders!N$1,products!$A$1:$G$1,0))</f>
        <v>8.25</v>
      </c>
      <c r="O46" s="13">
        <f t="shared" si="0"/>
        <v>16.5</v>
      </c>
      <c r="P46" s="13">
        <f>_xlfn.XLOOKUP(Orders[[#This Row],[Product ID]],products!$A$1:$A$49,products!$G$1:$G$49,,0)</f>
        <v>0.90749999999999997</v>
      </c>
      <c r="Q46" s="13">
        <f t="shared" si="1"/>
        <v>1.8149999999999999</v>
      </c>
      <c r="R46" t="str">
        <f t="shared" si="2"/>
        <v>Execelsa</v>
      </c>
      <c r="S46" t="str">
        <f t="shared" si="3"/>
        <v>Medium</v>
      </c>
      <c r="T46" t="str">
        <f>_xlfn.XLOOKUP(Orders[[#This Row],[Customer ID]],customers!$A$1:$A$1001,customers!$I$1:$I$1001,,0)</f>
        <v>Yes</v>
      </c>
    </row>
    <row r="47" spans="1:20" x14ac:dyDescent="0.35">
      <c r="A47" s="2" t="s">
        <v>744</v>
      </c>
      <c r="B47" s="3">
        <v>44592</v>
      </c>
      <c r="C47" s="2" t="s">
        <v>745</v>
      </c>
      <c r="D47" t="s">
        <v>6165</v>
      </c>
      <c r="E47" t="str">
        <f t="shared" si="4"/>
        <v>Liberica-Dark-2.5</v>
      </c>
      <c r="F47" s="2">
        <v>6</v>
      </c>
      <c r="G47" s="2" t="str" cm="1">
        <f t="array" ref="G47">_xlfn.XLOOKUP(C47, customers!$A$1:A1046,customers!$B$1:B1046,,0)</f>
        <v>Petey Kingsbury</v>
      </c>
      <c r="H47" s="2" t="str" cm="1">
        <f t="array" ref="H47">IF(_xlfn.XLOOKUP(C47,customers!$A$1:A1046,customers!$C$1:C1046,,0) = 0,"", _xlfn.XLOOKUP(C47,customers!$A$1:A1046,customers!$C$1:C1046,,0))</f>
        <v>pkingsbury19@comcast.net</v>
      </c>
      <c r="I47" s="2" t="str">
        <f>_xlfn.XLOOKUP(C47,customers!$A$1:$A$1001,customers!$G$1:$G$1001,,0)</f>
        <v>United States</v>
      </c>
      <c r="J47" s="2" t="str">
        <f>_xlfn.XLOOKUP(Orders[[#This Row],[Customer ID]],customers!$A$1:$A$1001,customers!$F$1:$F$1001,,0)</f>
        <v>Bronx</v>
      </c>
      <c r="K47" t="str">
        <f>INDEX(products!$A$1:$G$49,MATCH(orders!$D47,products!$A$1:$A$49,0),MATCH(orders!K$1,products!$A$1:$G$1,0))</f>
        <v>Lib</v>
      </c>
      <c r="L47" t="str">
        <f>INDEX(products!$A$1:$G$49,MATCH(orders!$D47,products!$A$1:$A$49,0),MATCH(orders!L$1,products!$A$1:$G$1,0))</f>
        <v>D</v>
      </c>
      <c r="M47" s="14">
        <f>INDEX(products!$A$1:$G$49,MATCH(orders!$D47,products!$A$1:$A$49,0),MATCH(orders!M$1,products!$A$1:$G$1,0))</f>
        <v>2.5</v>
      </c>
      <c r="N47" s="4">
        <f>INDEX(products!$A$1:$G$49,MATCH(orders!$D47,products!$A$1:$A$49,0),MATCH(orders!N$1,products!$A$1:$G$1,0))</f>
        <v>29.784999999999997</v>
      </c>
      <c r="O47" s="13">
        <f t="shared" si="0"/>
        <v>178.70999999999998</v>
      </c>
      <c r="P47" s="13">
        <f>_xlfn.XLOOKUP(Orders[[#This Row],[Product ID]],products!$A$1:$A$49,products!$G$1:$G$49,,0)</f>
        <v>3.8720499999999998</v>
      </c>
      <c r="Q47" s="13">
        <f t="shared" si="1"/>
        <v>23.232299999999999</v>
      </c>
      <c r="R47" t="str">
        <f t="shared" si="2"/>
        <v>Liberica</v>
      </c>
      <c r="S47" t="str">
        <f t="shared" si="3"/>
        <v>Dark</v>
      </c>
      <c r="T47" t="str">
        <f>_xlfn.XLOOKUP(Orders[[#This Row],[Customer ID]],customers!$A$1:$A$1001,customers!$I$1:$I$1001,,0)</f>
        <v>No</v>
      </c>
    </row>
    <row r="48" spans="1:20" x14ac:dyDescent="0.35">
      <c r="A48" s="2" t="s">
        <v>750</v>
      </c>
      <c r="B48" s="3">
        <v>43776</v>
      </c>
      <c r="C48" s="2" t="s">
        <v>751</v>
      </c>
      <c r="D48" t="s">
        <v>6166</v>
      </c>
      <c r="E48" t="str">
        <f t="shared" si="4"/>
        <v>Excelsa-Medium-2.5</v>
      </c>
      <c r="F48" s="2">
        <v>2</v>
      </c>
      <c r="G48" s="2" t="str" cm="1">
        <f t="array" ref="G48">_xlfn.XLOOKUP(C48, customers!$A$1:A1047,customers!$B$1:B1047,,0)</f>
        <v>Donna Baskeyfied</v>
      </c>
      <c r="H48" s="2" t="str" cm="1">
        <f t="array" ref="H48">IF(_xlfn.XLOOKUP(C48,customers!$A$1:A1047,customers!$C$1:C1047,,0) = 0,"", _xlfn.XLOOKUP(C48,customers!$A$1:A1047,customers!$C$1:C1047,,0))</f>
        <v/>
      </c>
      <c r="I48" s="2" t="str">
        <f>_xlfn.XLOOKUP(C48,customers!$A$1:$A$1001,customers!$G$1:$G$1001,,0)</f>
        <v>United States</v>
      </c>
      <c r="J48" s="2" t="str">
        <f>_xlfn.XLOOKUP(Orders[[#This Row],[Customer ID]],customers!$A$1:$A$1001,customers!$F$1:$F$1001,,0)</f>
        <v>Birmingham</v>
      </c>
      <c r="K48" t="str">
        <f>INDEX(products!$A$1:$G$49,MATCH(orders!$D48,products!$A$1:$A$49,0),MATCH(orders!K$1,products!$A$1:$G$1,0))</f>
        <v>Exc</v>
      </c>
      <c r="L48" t="str">
        <f>INDEX(products!$A$1:$G$49,MATCH(orders!$D48,products!$A$1:$A$49,0),MATCH(orders!L$1,products!$A$1:$G$1,0))</f>
        <v>M</v>
      </c>
      <c r="M48" s="14">
        <f>INDEX(products!$A$1:$G$49,MATCH(orders!$D48,products!$A$1:$A$49,0),MATCH(orders!M$1,products!$A$1:$G$1,0))</f>
        <v>2.5</v>
      </c>
      <c r="N48" s="4">
        <f>INDEX(products!$A$1:$G$49,MATCH(orders!$D48,products!$A$1:$A$49,0),MATCH(orders!N$1,products!$A$1:$G$1,0))</f>
        <v>31.624999999999996</v>
      </c>
      <c r="O48" s="13">
        <f t="shared" si="0"/>
        <v>63.249999999999993</v>
      </c>
      <c r="P48" s="13">
        <f>_xlfn.XLOOKUP(Orders[[#This Row],[Product ID]],products!$A$1:$A$49,products!$G$1:$G$49,,0)</f>
        <v>3.4787499999999998</v>
      </c>
      <c r="Q48" s="13">
        <f t="shared" si="1"/>
        <v>6.9574999999999996</v>
      </c>
      <c r="R48" t="str">
        <f t="shared" si="2"/>
        <v>Execelsa</v>
      </c>
      <c r="S48" t="str">
        <f t="shared" si="3"/>
        <v>Medium</v>
      </c>
      <c r="T48" t="str">
        <f>_xlfn.XLOOKUP(Orders[[#This Row],[Customer ID]],customers!$A$1:$A$1001,customers!$I$1:$I$1001,,0)</f>
        <v>Yes</v>
      </c>
    </row>
    <row r="49" spans="1:20" x14ac:dyDescent="0.35">
      <c r="A49" s="2" t="s">
        <v>755</v>
      </c>
      <c r="B49" s="3">
        <v>43644</v>
      </c>
      <c r="C49" s="2" t="s">
        <v>756</v>
      </c>
      <c r="D49" t="s">
        <v>6167</v>
      </c>
      <c r="E49" t="str">
        <f t="shared" si="4"/>
        <v>Arabica-Light-0.2</v>
      </c>
      <c r="F49" s="2">
        <v>2</v>
      </c>
      <c r="G49" s="2" t="str" cm="1">
        <f t="array" ref="G49">_xlfn.XLOOKUP(C49, customers!$A$1:A1048,customers!$B$1:B1048,,0)</f>
        <v>Arda Curley</v>
      </c>
      <c r="H49" s="2" t="str" cm="1">
        <f t="array" ref="H49">IF(_xlfn.XLOOKUP(C49,customers!$A$1:A1048,customers!$C$1:C1048,,0) = 0,"", _xlfn.XLOOKUP(C49,customers!$A$1:A1048,customers!$C$1:C1048,,0))</f>
        <v>acurley1b@hao123.com</v>
      </c>
      <c r="I49" s="2" t="str">
        <f>_xlfn.XLOOKUP(C49,customers!$A$1:$A$1001,customers!$G$1:$G$1001,,0)</f>
        <v>United States</v>
      </c>
      <c r="J49" s="2" t="str">
        <f>_xlfn.XLOOKUP(Orders[[#This Row],[Customer ID]],customers!$A$1:$A$1001,customers!$F$1:$F$1001,,0)</f>
        <v>San Bernardino</v>
      </c>
      <c r="K49" t="str">
        <f>INDEX(products!$A$1:$G$49,MATCH(orders!$D49,products!$A$1:$A$49,0),MATCH(orders!K$1,products!$A$1:$G$1,0))</f>
        <v>Ara</v>
      </c>
      <c r="L49" t="str">
        <f>INDEX(products!$A$1:$G$49,MATCH(orders!$D49,products!$A$1:$A$49,0),MATCH(orders!L$1,products!$A$1:$G$1,0))</f>
        <v>L</v>
      </c>
      <c r="M49" s="14">
        <f>INDEX(products!$A$1:$G$49,MATCH(orders!$D49,products!$A$1:$A$49,0),MATCH(orders!M$1,products!$A$1:$G$1,0))</f>
        <v>0.2</v>
      </c>
      <c r="N49" s="4">
        <f>INDEX(products!$A$1:$G$49,MATCH(orders!$D49,products!$A$1:$A$49,0),MATCH(orders!N$1,products!$A$1:$G$1,0))</f>
        <v>3.8849999999999998</v>
      </c>
      <c r="O49" s="13">
        <f t="shared" si="0"/>
        <v>7.77</v>
      </c>
      <c r="P49" s="13">
        <f>_xlfn.XLOOKUP(Orders[[#This Row],[Product ID]],products!$A$1:$A$49,products!$G$1:$G$49,,0)</f>
        <v>0.34964999999999996</v>
      </c>
      <c r="Q49" s="13">
        <f t="shared" si="1"/>
        <v>0.69929999999999992</v>
      </c>
      <c r="R49" t="str">
        <f t="shared" si="2"/>
        <v>Arabica</v>
      </c>
      <c r="S49" t="str">
        <f t="shared" si="3"/>
        <v>Light</v>
      </c>
      <c r="T49" t="str">
        <f>_xlfn.XLOOKUP(Orders[[#This Row],[Customer ID]],customers!$A$1:$A$1001,customers!$I$1:$I$1001,,0)</f>
        <v>Yes</v>
      </c>
    </row>
    <row r="50" spans="1:20" x14ac:dyDescent="0.35">
      <c r="A50" s="2" t="s">
        <v>761</v>
      </c>
      <c r="B50" s="3">
        <v>44085</v>
      </c>
      <c r="C50" s="2" t="s">
        <v>762</v>
      </c>
      <c r="D50" t="s">
        <v>6168</v>
      </c>
      <c r="E50" t="str">
        <f t="shared" si="4"/>
        <v>Arabica-Dark-2.5</v>
      </c>
      <c r="F50" s="2">
        <v>4</v>
      </c>
      <c r="G50" s="2" t="str" cm="1">
        <f t="array" ref="G50">_xlfn.XLOOKUP(C50, customers!$A$1:A1049,customers!$B$1:B1049,,0)</f>
        <v>Raynor McGilvary</v>
      </c>
      <c r="H50" s="2" t="str" cm="1">
        <f t="array" ref="H50">IF(_xlfn.XLOOKUP(C50,customers!$A$1:A1049,customers!$C$1:C1049,,0) = 0,"", _xlfn.XLOOKUP(C50,customers!$A$1:A1049,customers!$C$1:C1049,,0))</f>
        <v>rmcgilvary1c@tamu.edu</v>
      </c>
      <c r="I50" s="2" t="str">
        <f>_xlfn.XLOOKUP(C50,customers!$A$1:$A$1001,customers!$G$1:$G$1001,,0)</f>
        <v>United States</v>
      </c>
      <c r="J50" s="2" t="str">
        <f>_xlfn.XLOOKUP(Orders[[#This Row],[Customer ID]],customers!$A$1:$A$1001,customers!$F$1:$F$1001,,0)</f>
        <v>Norfolk</v>
      </c>
      <c r="K50" t="str">
        <f>INDEX(products!$A$1:$G$49,MATCH(orders!$D50,products!$A$1:$A$49,0),MATCH(orders!K$1,products!$A$1:$G$1,0))</f>
        <v>Ara</v>
      </c>
      <c r="L50" t="str">
        <f>INDEX(products!$A$1:$G$49,MATCH(orders!$D50,products!$A$1:$A$49,0),MATCH(orders!L$1,products!$A$1:$G$1,0))</f>
        <v>D</v>
      </c>
      <c r="M50" s="14">
        <f>INDEX(products!$A$1:$G$49,MATCH(orders!$D50,products!$A$1:$A$49,0),MATCH(orders!M$1,products!$A$1:$G$1,0))</f>
        <v>2.5</v>
      </c>
      <c r="N50" s="4">
        <f>INDEX(products!$A$1:$G$49,MATCH(orders!$D50,products!$A$1:$A$49,0),MATCH(orders!N$1,products!$A$1:$G$1,0))</f>
        <v>22.884999999999998</v>
      </c>
      <c r="O50" s="13">
        <f t="shared" si="0"/>
        <v>91.539999999999992</v>
      </c>
      <c r="P50" s="13">
        <f>_xlfn.XLOOKUP(Orders[[#This Row],[Product ID]],products!$A$1:$A$49,products!$G$1:$G$49,,0)</f>
        <v>2.0596499999999995</v>
      </c>
      <c r="Q50" s="13">
        <f t="shared" si="1"/>
        <v>8.2385999999999981</v>
      </c>
      <c r="R50" t="str">
        <f t="shared" si="2"/>
        <v>Arabica</v>
      </c>
      <c r="S50" t="str">
        <f t="shared" si="3"/>
        <v>Dark</v>
      </c>
      <c r="T50" t="str">
        <f>_xlfn.XLOOKUP(Orders[[#This Row],[Customer ID]],customers!$A$1:$A$1001,customers!$I$1:$I$1001,,0)</f>
        <v>No</v>
      </c>
    </row>
    <row r="51" spans="1:20" x14ac:dyDescent="0.35">
      <c r="A51" s="2" t="s">
        <v>766</v>
      </c>
      <c r="B51" s="3">
        <v>44790</v>
      </c>
      <c r="C51" s="2" t="s">
        <v>767</v>
      </c>
      <c r="D51" t="s">
        <v>6140</v>
      </c>
      <c r="E51" t="str">
        <f t="shared" si="4"/>
        <v>Arabica-Light-1</v>
      </c>
      <c r="F51" s="2">
        <v>3</v>
      </c>
      <c r="G51" s="2" t="str" cm="1">
        <f t="array" ref="G51">_xlfn.XLOOKUP(C51, customers!$A$1:A1050,customers!$B$1:B1050,,0)</f>
        <v>Isis Pikett</v>
      </c>
      <c r="H51" s="2" t="str" cm="1">
        <f t="array" ref="H51">IF(_xlfn.XLOOKUP(C51,customers!$A$1:A1050,customers!$C$1:C1050,,0) = 0,"", _xlfn.XLOOKUP(C51,customers!$A$1:A1050,customers!$C$1:C1050,,0))</f>
        <v>ipikett1d@xinhuanet.com</v>
      </c>
      <c r="I51" s="2" t="str">
        <f>_xlfn.XLOOKUP(C51,customers!$A$1:$A$1001,customers!$G$1:$G$1001,,0)</f>
        <v>United States</v>
      </c>
      <c r="J51" s="2" t="str">
        <f>_xlfn.XLOOKUP(Orders[[#This Row],[Customer ID]],customers!$A$1:$A$1001,customers!$F$1:$F$1001,,0)</f>
        <v>Washington</v>
      </c>
      <c r="K51" t="str">
        <f>INDEX(products!$A$1:$G$49,MATCH(orders!$D51,products!$A$1:$A$49,0),MATCH(orders!K$1,products!$A$1:$G$1,0))</f>
        <v>Ara</v>
      </c>
      <c r="L51" t="str">
        <f>INDEX(products!$A$1:$G$49,MATCH(orders!$D51,products!$A$1:$A$49,0),MATCH(orders!L$1,products!$A$1:$G$1,0))</f>
        <v>L</v>
      </c>
      <c r="M51" s="14">
        <f>INDEX(products!$A$1:$G$49,MATCH(orders!$D51,products!$A$1:$A$49,0),MATCH(orders!M$1,products!$A$1:$G$1,0))</f>
        <v>1</v>
      </c>
      <c r="N51" s="4">
        <f>INDEX(products!$A$1:$G$49,MATCH(orders!$D51,products!$A$1:$A$49,0),MATCH(orders!N$1,products!$A$1:$G$1,0))</f>
        <v>12.95</v>
      </c>
      <c r="O51" s="13">
        <f t="shared" si="0"/>
        <v>38.849999999999994</v>
      </c>
      <c r="P51" s="13">
        <f>_xlfn.XLOOKUP(Orders[[#This Row],[Product ID]],products!$A$1:$A$49,products!$G$1:$G$49,,0)</f>
        <v>1.1655</v>
      </c>
      <c r="Q51" s="13">
        <f t="shared" si="1"/>
        <v>3.4965000000000002</v>
      </c>
      <c r="R51" t="str">
        <f t="shared" si="2"/>
        <v>Arabica</v>
      </c>
      <c r="S51" t="str">
        <f t="shared" si="3"/>
        <v>Light</v>
      </c>
      <c r="T51" t="str">
        <f>_xlfn.XLOOKUP(Orders[[#This Row],[Customer ID]],customers!$A$1:$A$1001,customers!$I$1:$I$1001,,0)</f>
        <v>No</v>
      </c>
    </row>
    <row r="52" spans="1:20" x14ac:dyDescent="0.35">
      <c r="A52" s="2" t="s">
        <v>772</v>
      </c>
      <c r="B52" s="3">
        <v>44792</v>
      </c>
      <c r="C52" s="2" t="s">
        <v>773</v>
      </c>
      <c r="D52" t="s">
        <v>6169</v>
      </c>
      <c r="E52" t="str">
        <f t="shared" si="4"/>
        <v>Liberica-Dark-0.5</v>
      </c>
      <c r="F52" s="2">
        <v>2</v>
      </c>
      <c r="G52" s="2" t="str" cm="1">
        <f t="array" ref="G52">_xlfn.XLOOKUP(C52, customers!$A$1:A1051,customers!$B$1:B1051,,0)</f>
        <v>Inger Bouldon</v>
      </c>
      <c r="H52" s="2" t="str" cm="1">
        <f t="array" ref="H52">IF(_xlfn.XLOOKUP(C52,customers!$A$1:A1051,customers!$C$1:C1051,,0) = 0,"", _xlfn.XLOOKUP(C52,customers!$A$1:A1051,customers!$C$1:C1051,,0))</f>
        <v>ibouldon1e@gizmodo.com</v>
      </c>
      <c r="I52" s="2" t="str">
        <f>_xlfn.XLOOKUP(C52,customers!$A$1:$A$1001,customers!$G$1:$G$1001,,0)</f>
        <v>United States</v>
      </c>
      <c r="J52" s="2" t="str">
        <f>_xlfn.XLOOKUP(Orders[[#This Row],[Customer ID]],customers!$A$1:$A$1001,customers!$F$1:$F$1001,,0)</f>
        <v>Fort Lauderdale</v>
      </c>
      <c r="K52" t="str">
        <f>INDEX(products!$A$1:$G$49,MATCH(orders!$D52,products!$A$1:$A$49,0),MATCH(orders!K$1,products!$A$1:$G$1,0))</f>
        <v>Lib</v>
      </c>
      <c r="L52" t="str">
        <f>INDEX(products!$A$1:$G$49,MATCH(orders!$D52,products!$A$1:$A$49,0),MATCH(orders!L$1,products!$A$1:$G$1,0))</f>
        <v>D</v>
      </c>
      <c r="M52" s="14">
        <f>INDEX(products!$A$1:$G$49,MATCH(orders!$D52,products!$A$1:$A$49,0),MATCH(orders!M$1,products!$A$1:$G$1,0))</f>
        <v>0.5</v>
      </c>
      <c r="N52" s="4">
        <f>INDEX(products!$A$1:$G$49,MATCH(orders!$D52,products!$A$1:$A$49,0),MATCH(orders!N$1,products!$A$1:$G$1,0))</f>
        <v>7.77</v>
      </c>
      <c r="O52" s="13">
        <f t="shared" si="0"/>
        <v>15.54</v>
      </c>
      <c r="P52" s="13">
        <f>_xlfn.XLOOKUP(Orders[[#This Row],[Product ID]],products!$A$1:$A$49,products!$G$1:$G$49,,0)</f>
        <v>1.0101</v>
      </c>
      <c r="Q52" s="13">
        <f t="shared" si="1"/>
        <v>2.0202</v>
      </c>
      <c r="R52" t="str">
        <f t="shared" si="2"/>
        <v>Liberica</v>
      </c>
      <c r="S52" t="str">
        <f t="shared" si="3"/>
        <v>Dark</v>
      </c>
      <c r="T52" t="str">
        <f>_xlfn.XLOOKUP(Orders[[#This Row],[Customer ID]],customers!$A$1:$A$1001,customers!$I$1:$I$1001,,0)</f>
        <v>No</v>
      </c>
    </row>
    <row r="53" spans="1:20" x14ac:dyDescent="0.35">
      <c r="A53" s="2" t="s">
        <v>778</v>
      </c>
      <c r="B53" s="3">
        <v>43600</v>
      </c>
      <c r="C53" s="2" t="s">
        <v>779</v>
      </c>
      <c r="D53" t="s">
        <v>6164</v>
      </c>
      <c r="E53" t="str">
        <f t="shared" si="4"/>
        <v>Liberica-Light-2.5</v>
      </c>
      <c r="F53" s="2">
        <v>4</v>
      </c>
      <c r="G53" s="2" t="str" cm="1">
        <f t="array" ref="G53">_xlfn.XLOOKUP(C53, customers!$A$1:A1052,customers!$B$1:B1052,,0)</f>
        <v>Karry Flanders</v>
      </c>
      <c r="H53" s="2" t="str" cm="1">
        <f t="array" ref="H53">IF(_xlfn.XLOOKUP(C53,customers!$A$1:A1052,customers!$C$1:C1052,,0) = 0,"", _xlfn.XLOOKUP(C53,customers!$A$1:A1052,customers!$C$1:C1052,,0))</f>
        <v>kflanders1f@over-blog.com</v>
      </c>
      <c r="I53" s="2" t="str">
        <f>_xlfn.XLOOKUP(C53,customers!$A$1:$A$1001,customers!$G$1:$G$1001,,0)</f>
        <v>Ireland</v>
      </c>
      <c r="J53" s="2" t="str">
        <f>_xlfn.XLOOKUP(Orders[[#This Row],[Customer ID]],customers!$A$1:$A$1001,customers!$F$1:$F$1001,,0)</f>
        <v>Crumlin</v>
      </c>
      <c r="K53" t="str">
        <f>INDEX(products!$A$1:$G$49,MATCH(orders!$D53,products!$A$1:$A$49,0),MATCH(orders!K$1,products!$A$1:$G$1,0))</f>
        <v>Lib</v>
      </c>
      <c r="L53" t="str">
        <f>INDEX(products!$A$1:$G$49,MATCH(orders!$D53,products!$A$1:$A$49,0),MATCH(orders!L$1,products!$A$1:$G$1,0))</f>
        <v>L</v>
      </c>
      <c r="M53" s="14">
        <f>INDEX(products!$A$1:$G$49,MATCH(orders!$D53,products!$A$1:$A$49,0),MATCH(orders!M$1,products!$A$1:$G$1,0))</f>
        <v>2.5</v>
      </c>
      <c r="N53" s="4">
        <f>INDEX(products!$A$1:$G$49,MATCH(orders!$D53,products!$A$1:$A$49,0),MATCH(orders!N$1,products!$A$1:$G$1,0))</f>
        <v>36.454999999999998</v>
      </c>
      <c r="O53" s="13">
        <f t="shared" si="0"/>
        <v>145.82</v>
      </c>
      <c r="P53" s="13">
        <f>_xlfn.XLOOKUP(Orders[[#This Row],[Product ID]],products!$A$1:$A$49,products!$G$1:$G$49,,0)</f>
        <v>4.7391499999999995</v>
      </c>
      <c r="Q53" s="13">
        <f t="shared" si="1"/>
        <v>18.956599999999998</v>
      </c>
      <c r="R53" t="str">
        <f t="shared" si="2"/>
        <v>Liberica</v>
      </c>
      <c r="S53" t="str">
        <f t="shared" si="3"/>
        <v>Light</v>
      </c>
      <c r="T53" t="str">
        <f>_xlfn.XLOOKUP(Orders[[#This Row],[Customer ID]],customers!$A$1:$A$1001,customers!$I$1:$I$1001,,0)</f>
        <v>Yes</v>
      </c>
    </row>
    <row r="54" spans="1:20" x14ac:dyDescent="0.35">
      <c r="A54" s="2" t="s">
        <v>784</v>
      </c>
      <c r="B54" s="3">
        <v>43719</v>
      </c>
      <c r="C54" s="2" t="s">
        <v>785</v>
      </c>
      <c r="D54" t="s">
        <v>6146</v>
      </c>
      <c r="E54" t="str">
        <f t="shared" si="4"/>
        <v>Robusta-Medium-0.5</v>
      </c>
      <c r="F54" s="2">
        <v>5</v>
      </c>
      <c r="G54" s="2" t="str" cm="1">
        <f t="array" ref="G54">_xlfn.XLOOKUP(C54, customers!$A$1:A1053,customers!$B$1:B1053,,0)</f>
        <v>Hartley Mattioli</v>
      </c>
      <c r="H54" s="2" t="str" cm="1">
        <f t="array" ref="H54">IF(_xlfn.XLOOKUP(C54,customers!$A$1:A1053,customers!$C$1:C1053,,0) = 0,"", _xlfn.XLOOKUP(C54,customers!$A$1:A1053,customers!$C$1:C1053,,0))</f>
        <v>hmattioli1g@webmd.com</v>
      </c>
      <c r="I54" s="2" t="str">
        <f>_xlfn.XLOOKUP(C54,customers!$A$1:$A$1001,customers!$G$1:$G$1001,,0)</f>
        <v>United Kingdom</v>
      </c>
      <c r="J54" s="2" t="str">
        <f>_xlfn.XLOOKUP(Orders[[#This Row],[Customer ID]],customers!$A$1:$A$1001,customers!$F$1:$F$1001,,0)</f>
        <v>Kinloch</v>
      </c>
      <c r="K54" t="str">
        <f>INDEX(products!$A$1:$G$49,MATCH(orders!$D54,products!$A$1:$A$49,0),MATCH(orders!K$1,products!$A$1:$G$1,0))</f>
        <v>Rob</v>
      </c>
      <c r="L54" t="str">
        <f>INDEX(products!$A$1:$G$49,MATCH(orders!$D54,products!$A$1:$A$49,0),MATCH(orders!L$1,products!$A$1:$G$1,0))</f>
        <v>M</v>
      </c>
      <c r="M54" s="14">
        <f>INDEX(products!$A$1:$G$49,MATCH(orders!$D54,products!$A$1:$A$49,0),MATCH(orders!M$1,products!$A$1:$G$1,0))</f>
        <v>0.5</v>
      </c>
      <c r="N54" s="4">
        <f>INDEX(products!$A$1:$G$49,MATCH(orders!$D54,products!$A$1:$A$49,0),MATCH(orders!N$1,products!$A$1:$G$1,0))</f>
        <v>5.97</v>
      </c>
      <c r="O54" s="13">
        <f t="shared" si="0"/>
        <v>29.849999999999998</v>
      </c>
      <c r="P54" s="13">
        <f>_xlfn.XLOOKUP(Orders[[#This Row],[Product ID]],products!$A$1:$A$49,products!$G$1:$G$49,,0)</f>
        <v>0.35819999999999996</v>
      </c>
      <c r="Q54" s="13">
        <f t="shared" si="1"/>
        <v>1.7909999999999999</v>
      </c>
      <c r="R54" t="str">
        <f t="shared" si="2"/>
        <v>Robusta</v>
      </c>
      <c r="S54" t="str">
        <f t="shared" si="3"/>
        <v>Medium</v>
      </c>
      <c r="T54" t="str">
        <f>_xlfn.XLOOKUP(Orders[[#This Row],[Customer ID]],customers!$A$1:$A$1001,customers!$I$1:$I$1001,,0)</f>
        <v>No</v>
      </c>
    </row>
    <row r="55" spans="1:20" x14ac:dyDescent="0.35">
      <c r="A55" s="2" t="s">
        <v>784</v>
      </c>
      <c r="B55" s="3">
        <v>43719</v>
      </c>
      <c r="C55" s="2" t="s">
        <v>785</v>
      </c>
      <c r="D55" t="s">
        <v>6164</v>
      </c>
      <c r="E55" t="str">
        <f t="shared" si="4"/>
        <v>Liberica-Light-2.5</v>
      </c>
      <c r="F55" s="2">
        <v>2</v>
      </c>
      <c r="G55" s="2" t="str" cm="1">
        <f t="array" ref="G55">_xlfn.XLOOKUP(C55, customers!$A$1:A1054,customers!$B$1:B1054,,0)</f>
        <v>Hartley Mattioli</v>
      </c>
      <c r="H55" s="2" t="str" cm="1">
        <f t="array" ref="H55">IF(_xlfn.XLOOKUP(C55,customers!$A$1:A1054,customers!$C$1:C1054,,0) = 0,"", _xlfn.XLOOKUP(C55,customers!$A$1:A1054,customers!$C$1:C1054,,0))</f>
        <v>hmattioli1g@webmd.com</v>
      </c>
      <c r="I55" s="2" t="str">
        <f>_xlfn.XLOOKUP(C55,customers!$A$1:$A$1001,customers!$G$1:$G$1001,,0)</f>
        <v>United Kingdom</v>
      </c>
      <c r="J55" s="2" t="str">
        <f>_xlfn.XLOOKUP(Orders[[#This Row],[Customer ID]],customers!$A$1:$A$1001,customers!$F$1:$F$1001,,0)</f>
        <v>Kinloch</v>
      </c>
      <c r="K55" t="str">
        <f>INDEX(products!$A$1:$G$49,MATCH(orders!$D55,products!$A$1:$A$49,0),MATCH(orders!K$1,products!$A$1:$G$1,0))</f>
        <v>Lib</v>
      </c>
      <c r="L55" t="str">
        <f>INDEX(products!$A$1:$G$49,MATCH(orders!$D55,products!$A$1:$A$49,0),MATCH(orders!L$1,products!$A$1:$G$1,0))</f>
        <v>L</v>
      </c>
      <c r="M55" s="14">
        <f>INDEX(products!$A$1:$G$49,MATCH(orders!$D55,products!$A$1:$A$49,0),MATCH(orders!M$1,products!$A$1:$G$1,0))</f>
        <v>2.5</v>
      </c>
      <c r="N55" s="4">
        <f>INDEX(products!$A$1:$G$49,MATCH(orders!$D55,products!$A$1:$A$49,0),MATCH(orders!N$1,products!$A$1:$G$1,0))</f>
        <v>36.454999999999998</v>
      </c>
      <c r="O55" s="13">
        <f t="shared" si="0"/>
        <v>72.91</v>
      </c>
      <c r="P55" s="13">
        <f>_xlfn.XLOOKUP(Orders[[#This Row],[Product ID]],products!$A$1:$A$49,products!$G$1:$G$49,,0)</f>
        <v>4.7391499999999995</v>
      </c>
      <c r="Q55" s="13">
        <f t="shared" si="1"/>
        <v>9.4782999999999991</v>
      </c>
      <c r="R55" t="str">
        <f t="shared" si="2"/>
        <v>Liberica</v>
      </c>
      <c r="S55" t="str">
        <f t="shared" si="3"/>
        <v>Light</v>
      </c>
      <c r="T55" t="str">
        <f>_xlfn.XLOOKUP(Orders[[#This Row],[Customer ID]],customers!$A$1:$A$1001,customers!$I$1:$I$1001,,0)</f>
        <v>No</v>
      </c>
    </row>
    <row r="56" spans="1:20" x14ac:dyDescent="0.35">
      <c r="A56" s="2" t="s">
        <v>794</v>
      </c>
      <c r="B56" s="3">
        <v>44271</v>
      </c>
      <c r="C56" s="2" t="s">
        <v>795</v>
      </c>
      <c r="D56" t="s">
        <v>6162</v>
      </c>
      <c r="E56" t="str">
        <f t="shared" si="4"/>
        <v>Liberica-Medium-1</v>
      </c>
      <c r="F56" s="2">
        <v>5</v>
      </c>
      <c r="G56" s="2" t="str" cm="1">
        <f t="array" ref="G56">_xlfn.XLOOKUP(C56, customers!$A$1:A1055,customers!$B$1:B1055,,0)</f>
        <v>Archambault Gillard</v>
      </c>
      <c r="H56" s="2" t="str" cm="1">
        <f t="array" ref="H56">IF(_xlfn.XLOOKUP(C56,customers!$A$1:A1055,customers!$C$1:C1055,,0) = 0,"", _xlfn.XLOOKUP(C56,customers!$A$1:A1055,customers!$C$1:C1055,,0))</f>
        <v>agillard1i@issuu.com</v>
      </c>
      <c r="I56" s="2" t="str">
        <f>_xlfn.XLOOKUP(C56,customers!$A$1:$A$1001,customers!$G$1:$G$1001,,0)</f>
        <v>United States</v>
      </c>
      <c r="J56" s="2" t="str">
        <f>_xlfn.XLOOKUP(Orders[[#This Row],[Customer ID]],customers!$A$1:$A$1001,customers!$F$1:$F$1001,,0)</f>
        <v>Toledo</v>
      </c>
      <c r="K56" t="str">
        <f>INDEX(products!$A$1:$G$49,MATCH(orders!$D56,products!$A$1:$A$49,0),MATCH(orders!K$1,products!$A$1:$G$1,0))</f>
        <v>Lib</v>
      </c>
      <c r="L56" t="str">
        <f>INDEX(products!$A$1:$G$49,MATCH(orders!$D56,products!$A$1:$A$49,0),MATCH(orders!L$1,products!$A$1:$G$1,0))</f>
        <v>M</v>
      </c>
      <c r="M56" s="14">
        <f>INDEX(products!$A$1:$G$49,MATCH(orders!$D56,products!$A$1:$A$49,0),MATCH(orders!M$1,products!$A$1:$G$1,0))</f>
        <v>1</v>
      </c>
      <c r="N56" s="4">
        <f>INDEX(products!$A$1:$G$49,MATCH(orders!$D56,products!$A$1:$A$49,0),MATCH(orders!N$1,products!$A$1:$G$1,0))</f>
        <v>14.55</v>
      </c>
      <c r="O56" s="13">
        <f t="shared" si="0"/>
        <v>72.75</v>
      </c>
      <c r="P56" s="13">
        <f>_xlfn.XLOOKUP(Orders[[#This Row],[Product ID]],products!$A$1:$A$49,products!$G$1:$G$49,,0)</f>
        <v>1.8915000000000002</v>
      </c>
      <c r="Q56" s="13">
        <f t="shared" si="1"/>
        <v>9.4575000000000014</v>
      </c>
      <c r="R56" t="str">
        <f t="shared" si="2"/>
        <v>Liberica</v>
      </c>
      <c r="S56" t="str">
        <f t="shared" si="3"/>
        <v>Medium</v>
      </c>
      <c r="T56" t="str">
        <f>_xlfn.XLOOKUP(Orders[[#This Row],[Customer ID]],customers!$A$1:$A$1001,customers!$I$1:$I$1001,,0)</f>
        <v>No</v>
      </c>
    </row>
    <row r="57" spans="1:20" x14ac:dyDescent="0.35">
      <c r="A57" s="2" t="s">
        <v>800</v>
      </c>
      <c r="B57" s="3">
        <v>44168</v>
      </c>
      <c r="C57" s="2" t="s">
        <v>801</v>
      </c>
      <c r="D57" t="s">
        <v>6170</v>
      </c>
      <c r="E57" t="str">
        <f t="shared" si="4"/>
        <v>Liberica-Light-1</v>
      </c>
      <c r="F57" s="2">
        <v>3</v>
      </c>
      <c r="G57" s="2" t="str" cm="1">
        <f t="array" ref="G57">_xlfn.XLOOKUP(C57, customers!$A$1:A1056,customers!$B$1:B1056,,0)</f>
        <v>Salomo Cushworth</v>
      </c>
      <c r="H57" s="2" t="str" cm="1">
        <f t="array" ref="H57">IF(_xlfn.XLOOKUP(C57,customers!$A$1:A1056,customers!$C$1:C1056,,0) = 0,"", _xlfn.XLOOKUP(C57,customers!$A$1:A1056,customers!$C$1:C1056,,0))</f>
        <v/>
      </c>
      <c r="I57" s="2" t="str">
        <f>_xlfn.XLOOKUP(C57,customers!$A$1:$A$1001,customers!$G$1:$G$1001,,0)</f>
        <v>United States</v>
      </c>
      <c r="J57" s="2" t="str">
        <f>_xlfn.XLOOKUP(Orders[[#This Row],[Customer ID]],customers!$A$1:$A$1001,customers!$F$1:$F$1001,,0)</f>
        <v>Trenton</v>
      </c>
      <c r="K57" t="str">
        <f>INDEX(products!$A$1:$G$49,MATCH(orders!$D57,products!$A$1:$A$49,0),MATCH(orders!K$1,products!$A$1:$G$1,0))</f>
        <v>Lib</v>
      </c>
      <c r="L57" t="str">
        <f>INDEX(products!$A$1:$G$49,MATCH(orders!$D57,products!$A$1:$A$49,0),MATCH(orders!L$1,products!$A$1:$G$1,0))</f>
        <v>L</v>
      </c>
      <c r="M57" s="14">
        <f>INDEX(products!$A$1:$G$49,MATCH(orders!$D57,products!$A$1:$A$49,0),MATCH(orders!M$1,products!$A$1:$G$1,0))</f>
        <v>1</v>
      </c>
      <c r="N57" s="4">
        <f>INDEX(products!$A$1:$G$49,MATCH(orders!$D57,products!$A$1:$A$49,0),MATCH(orders!N$1,products!$A$1:$G$1,0))</f>
        <v>15.85</v>
      </c>
      <c r="O57" s="13">
        <f t="shared" si="0"/>
        <v>47.55</v>
      </c>
      <c r="P57" s="13">
        <f>_xlfn.XLOOKUP(Orders[[#This Row],[Product ID]],products!$A$1:$A$49,products!$G$1:$G$49,,0)</f>
        <v>2.0605000000000002</v>
      </c>
      <c r="Q57" s="13">
        <f t="shared" si="1"/>
        <v>6.1815000000000007</v>
      </c>
      <c r="R57" t="str">
        <f t="shared" si="2"/>
        <v>Liberica</v>
      </c>
      <c r="S57" t="str">
        <f t="shared" si="3"/>
        <v>Light</v>
      </c>
      <c r="T57" t="str">
        <f>_xlfn.XLOOKUP(Orders[[#This Row],[Customer ID]],customers!$A$1:$A$1001,customers!$I$1:$I$1001,,0)</f>
        <v>No</v>
      </c>
    </row>
    <row r="58" spans="1:20" x14ac:dyDescent="0.35">
      <c r="A58" s="2" t="s">
        <v>805</v>
      </c>
      <c r="B58" s="3">
        <v>43857</v>
      </c>
      <c r="C58" s="2" t="s">
        <v>806</v>
      </c>
      <c r="D58" t="s">
        <v>6153</v>
      </c>
      <c r="E58" t="str">
        <f t="shared" si="4"/>
        <v>Excelsa-Dark-0.2</v>
      </c>
      <c r="F58" s="2">
        <v>3</v>
      </c>
      <c r="G58" s="2" t="str" cm="1">
        <f t="array" ref="G58">_xlfn.XLOOKUP(C58, customers!$A$1:A1057,customers!$B$1:B1057,,0)</f>
        <v>Theda Grizard</v>
      </c>
      <c r="H58" s="2" t="str" cm="1">
        <f t="array" ref="H58">IF(_xlfn.XLOOKUP(C58,customers!$A$1:A1057,customers!$C$1:C1057,,0) = 0,"", _xlfn.XLOOKUP(C58,customers!$A$1:A1057,customers!$C$1:C1057,,0))</f>
        <v>tgrizard1k@odnoklassniki.ru</v>
      </c>
      <c r="I58" s="2" t="str">
        <f>_xlfn.XLOOKUP(C58,customers!$A$1:$A$1001,customers!$G$1:$G$1001,,0)</f>
        <v>United States</v>
      </c>
      <c r="J58" s="2" t="str">
        <f>_xlfn.XLOOKUP(Orders[[#This Row],[Customer ID]],customers!$A$1:$A$1001,customers!$F$1:$F$1001,,0)</f>
        <v>Tampa</v>
      </c>
      <c r="K58" t="str">
        <f>INDEX(products!$A$1:$G$49,MATCH(orders!$D58,products!$A$1:$A$49,0),MATCH(orders!K$1,products!$A$1:$G$1,0))</f>
        <v>Exc</v>
      </c>
      <c r="L58" t="str">
        <f>INDEX(products!$A$1:$G$49,MATCH(orders!$D58,products!$A$1:$A$49,0),MATCH(orders!L$1,products!$A$1:$G$1,0))</f>
        <v>D</v>
      </c>
      <c r="M58" s="14">
        <f>INDEX(products!$A$1:$G$49,MATCH(orders!$D58,products!$A$1:$A$49,0),MATCH(orders!M$1,products!$A$1:$G$1,0))</f>
        <v>0.2</v>
      </c>
      <c r="N58" s="4">
        <f>INDEX(products!$A$1:$G$49,MATCH(orders!$D58,products!$A$1:$A$49,0),MATCH(orders!N$1,products!$A$1:$G$1,0))</f>
        <v>3.645</v>
      </c>
      <c r="O58" s="13">
        <f t="shared" si="0"/>
        <v>10.935</v>
      </c>
      <c r="P58" s="13">
        <f>_xlfn.XLOOKUP(Orders[[#This Row],[Product ID]],products!$A$1:$A$49,products!$G$1:$G$49,,0)</f>
        <v>0.40095000000000003</v>
      </c>
      <c r="Q58" s="13">
        <f t="shared" si="1"/>
        <v>1.2028500000000002</v>
      </c>
      <c r="R58" t="str">
        <f t="shared" si="2"/>
        <v>Execelsa</v>
      </c>
      <c r="S58" t="str">
        <f t="shared" si="3"/>
        <v>Dark</v>
      </c>
      <c r="T58" t="str">
        <f>_xlfn.XLOOKUP(Orders[[#This Row],[Customer ID]],customers!$A$1:$A$1001,customers!$I$1:$I$1001,,0)</f>
        <v>Yes</v>
      </c>
    </row>
    <row r="59" spans="1:20" x14ac:dyDescent="0.35">
      <c r="A59" s="2" t="s">
        <v>811</v>
      </c>
      <c r="B59" s="3">
        <v>44759</v>
      </c>
      <c r="C59" s="2" t="s">
        <v>812</v>
      </c>
      <c r="D59" t="s">
        <v>6171</v>
      </c>
      <c r="E59" t="str">
        <f t="shared" si="4"/>
        <v>Excelsa-Light-1</v>
      </c>
      <c r="F59" s="2">
        <v>4</v>
      </c>
      <c r="G59" s="2" t="str" cm="1">
        <f t="array" ref="G59">_xlfn.XLOOKUP(C59, customers!$A$1:A1058,customers!$B$1:B1058,,0)</f>
        <v>Rozele Relton</v>
      </c>
      <c r="H59" s="2" t="str" cm="1">
        <f t="array" ref="H59">IF(_xlfn.XLOOKUP(C59,customers!$A$1:A1058,customers!$C$1:C1058,,0) = 0,"", _xlfn.XLOOKUP(C59,customers!$A$1:A1058,customers!$C$1:C1058,,0))</f>
        <v>rrelton1l@stanford.edu</v>
      </c>
      <c r="I59" s="2" t="str">
        <f>_xlfn.XLOOKUP(C59,customers!$A$1:$A$1001,customers!$G$1:$G$1001,,0)</f>
        <v>United States</v>
      </c>
      <c r="J59" s="2" t="str">
        <f>_xlfn.XLOOKUP(Orders[[#This Row],[Customer ID]],customers!$A$1:$A$1001,customers!$F$1:$F$1001,,0)</f>
        <v>Pensacola</v>
      </c>
      <c r="K59" t="str">
        <f>INDEX(products!$A$1:$G$49,MATCH(orders!$D59,products!$A$1:$A$49,0),MATCH(orders!K$1,products!$A$1:$G$1,0))</f>
        <v>Exc</v>
      </c>
      <c r="L59" t="str">
        <f>INDEX(products!$A$1:$G$49,MATCH(orders!$D59,products!$A$1:$A$49,0),MATCH(orders!L$1,products!$A$1:$G$1,0))</f>
        <v>L</v>
      </c>
      <c r="M59" s="14">
        <f>INDEX(products!$A$1:$G$49,MATCH(orders!$D59,products!$A$1:$A$49,0),MATCH(orders!M$1,products!$A$1:$G$1,0))</f>
        <v>1</v>
      </c>
      <c r="N59" s="4">
        <f>INDEX(products!$A$1:$G$49,MATCH(orders!$D59,products!$A$1:$A$49,0),MATCH(orders!N$1,products!$A$1:$G$1,0))</f>
        <v>14.85</v>
      </c>
      <c r="O59" s="13">
        <f t="shared" si="0"/>
        <v>59.4</v>
      </c>
      <c r="P59" s="13">
        <f>_xlfn.XLOOKUP(Orders[[#This Row],[Product ID]],products!$A$1:$A$49,products!$G$1:$G$49,,0)</f>
        <v>1.6335</v>
      </c>
      <c r="Q59" s="13">
        <f t="shared" si="1"/>
        <v>6.5339999999999998</v>
      </c>
      <c r="R59" t="str">
        <f t="shared" si="2"/>
        <v>Execelsa</v>
      </c>
      <c r="S59" t="str">
        <f t="shared" si="3"/>
        <v>Light</v>
      </c>
      <c r="T59" t="str">
        <f>_xlfn.XLOOKUP(Orders[[#This Row],[Customer ID]],customers!$A$1:$A$1001,customers!$I$1:$I$1001,,0)</f>
        <v>No</v>
      </c>
    </row>
    <row r="60" spans="1:20" x14ac:dyDescent="0.35">
      <c r="A60" s="2" t="s">
        <v>817</v>
      </c>
      <c r="B60" s="3">
        <v>44624</v>
      </c>
      <c r="C60" s="2" t="s">
        <v>818</v>
      </c>
      <c r="D60" t="s">
        <v>6165</v>
      </c>
      <c r="E60" t="str">
        <f t="shared" si="4"/>
        <v>Liberica-Dark-2.5</v>
      </c>
      <c r="F60" s="2">
        <v>3</v>
      </c>
      <c r="G60" s="2" t="str" cm="1">
        <f t="array" ref="G60">_xlfn.XLOOKUP(C60, customers!$A$1:A1059,customers!$B$1:B1059,,0)</f>
        <v>Willa Rolling</v>
      </c>
      <c r="H60" s="2" t="str" cm="1">
        <f t="array" ref="H60">IF(_xlfn.XLOOKUP(C60,customers!$A$1:A1059,customers!$C$1:C1059,,0) = 0,"", _xlfn.XLOOKUP(C60,customers!$A$1:A1059,customers!$C$1:C1059,,0))</f>
        <v/>
      </c>
      <c r="I60" s="2" t="str">
        <f>_xlfn.XLOOKUP(C60,customers!$A$1:$A$1001,customers!$G$1:$G$1001,,0)</f>
        <v>United States</v>
      </c>
      <c r="J60" s="2" t="str">
        <f>_xlfn.XLOOKUP(Orders[[#This Row],[Customer ID]],customers!$A$1:$A$1001,customers!$F$1:$F$1001,,0)</f>
        <v>Zephyrhills</v>
      </c>
      <c r="K60" t="str">
        <f>INDEX(products!$A$1:$G$49,MATCH(orders!$D60,products!$A$1:$A$49,0),MATCH(orders!K$1,products!$A$1:$G$1,0))</f>
        <v>Lib</v>
      </c>
      <c r="L60" t="str">
        <f>INDEX(products!$A$1:$G$49,MATCH(orders!$D60,products!$A$1:$A$49,0),MATCH(orders!L$1,products!$A$1:$G$1,0))</f>
        <v>D</v>
      </c>
      <c r="M60" s="14">
        <f>INDEX(products!$A$1:$G$49,MATCH(orders!$D60,products!$A$1:$A$49,0),MATCH(orders!M$1,products!$A$1:$G$1,0))</f>
        <v>2.5</v>
      </c>
      <c r="N60" s="4">
        <f>INDEX(products!$A$1:$G$49,MATCH(orders!$D60,products!$A$1:$A$49,0),MATCH(orders!N$1,products!$A$1:$G$1,0))</f>
        <v>29.784999999999997</v>
      </c>
      <c r="O60" s="13">
        <f t="shared" si="0"/>
        <v>89.35499999999999</v>
      </c>
      <c r="P60" s="13">
        <f>_xlfn.XLOOKUP(Orders[[#This Row],[Product ID]],products!$A$1:$A$49,products!$G$1:$G$49,,0)</f>
        <v>3.8720499999999998</v>
      </c>
      <c r="Q60" s="13">
        <f t="shared" si="1"/>
        <v>11.616149999999999</v>
      </c>
      <c r="R60" t="str">
        <f t="shared" si="2"/>
        <v>Liberica</v>
      </c>
      <c r="S60" t="str">
        <f t="shared" si="3"/>
        <v>Dark</v>
      </c>
      <c r="T60" t="str">
        <f>_xlfn.XLOOKUP(Orders[[#This Row],[Customer ID]],customers!$A$1:$A$1001,customers!$I$1:$I$1001,,0)</f>
        <v>Yes</v>
      </c>
    </row>
    <row r="61" spans="1:20" x14ac:dyDescent="0.35">
      <c r="A61" s="2" t="s">
        <v>822</v>
      </c>
      <c r="B61" s="3">
        <v>44537</v>
      </c>
      <c r="C61" s="2" t="s">
        <v>823</v>
      </c>
      <c r="D61" t="s">
        <v>6160</v>
      </c>
      <c r="E61" t="str">
        <f t="shared" si="4"/>
        <v>Liberica-Medium-0.5</v>
      </c>
      <c r="F61" s="2">
        <v>3</v>
      </c>
      <c r="G61" s="2" t="str" cm="1">
        <f t="array" ref="G61">_xlfn.XLOOKUP(C61, customers!$A$1:A1060,customers!$B$1:B1060,,0)</f>
        <v>Stanislaus Gilroy</v>
      </c>
      <c r="H61" s="2" t="str" cm="1">
        <f t="array" ref="H61">IF(_xlfn.XLOOKUP(C61,customers!$A$1:A1060,customers!$C$1:C1060,,0) = 0,"", _xlfn.XLOOKUP(C61,customers!$A$1:A1060,customers!$C$1:C1060,,0))</f>
        <v>sgilroy1n@eepurl.com</v>
      </c>
      <c r="I61" s="2" t="str">
        <f>_xlfn.XLOOKUP(C61,customers!$A$1:$A$1001,customers!$G$1:$G$1001,,0)</f>
        <v>United States</v>
      </c>
      <c r="J61" s="2" t="str">
        <f>_xlfn.XLOOKUP(Orders[[#This Row],[Customer ID]],customers!$A$1:$A$1001,customers!$F$1:$F$1001,,0)</f>
        <v>Saint Paul</v>
      </c>
      <c r="K61" t="str">
        <f>INDEX(products!$A$1:$G$49,MATCH(orders!$D61,products!$A$1:$A$49,0),MATCH(orders!K$1,products!$A$1:$G$1,0))</f>
        <v>Lib</v>
      </c>
      <c r="L61" t="str">
        <f>INDEX(products!$A$1:$G$49,MATCH(orders!$D61,products!$A$1:$A$49,0),MATCH(orders!L$1,products!$A$1:$G$1,0))</f>
        <v>M</v>
      </c>
      <c r="M61" s="14">
        <f>INDEX(products!$A$1:$G$49,MATCH(orders!$D61,products!$A$1:$A$49,0),MATCH(orders!M$1,products!$A$1:$G$1,0))</f>
        <v>0.5</v>
      </c>
      <c r="N61" s="4">
        <f>INDEX(products!$A$1:$G$49,MATCH(orders!$D61,products!$A$1:$A$49,0),MATCH(orders!N$1,products!$A$1:$G$1,0))</f>
        <v>8.73</v>
      </c>
      <c r="O61" s="13">
        <f t="shared" si="0"/>
        <v>26.19</v>
      </c>
      <c r="P61" s="13">
        <f>_xlfn.XLOOKUP(Orders[[#This Row],[Product ID]],products!$A$1:$A$49,products!$G$1:$G$49,,0)</f>
        <v>1.1349</v>
      </c>
      <c r="Q61" s="13">
        <f t="shared" si="1"/>
        <v>3.4047000000000001</v>
      </c>
      <c r="R61" t="str">
        <f t="shared" si="2"/>
        <v>Liberica</v>
      </c>
      <c r="S61" t="str">
        <f t="shared" si="3"/>
        <v>Medium</v>
      </c>
      <c r="T61" t="str">
        <f>_xlfn.XLOOKUP(Orders[[#This Row],[Customer ID]],customers!$A$1:$A$1001,customers!$I$1:$I$1001,,0)</f>
        <v>Yes</v>
      </c>
    </row>
    <row r="62" spans="1:20" x14ac:dyDescent="0.35">
      <c r="A62" s="2" t="s">
        <v>827</v>
      </c>
      <c r="B62" s="3">
        <v>44252</v>
      </c>
      <c r="C62" s="2" t="s">
        <v>828</v>
      </c>
      <c r="D62" t="s">
        <v>6168</v>
      </c>
      <c r="E62" t="str">
        <f t="shared" si="4"/>
        <v>Arabica-Dark-2.5</v>
      </c>
      <c r="F62" s="2">
        <v>5</v>
      </c>
      <c r="G62" s="2" t="str" cm="1">
        <f t="array" ref="G62">_xlfn.XLOOKUP(C62, customers!$A$1:A1061,customers!$B$1:B1061,,0)</f>
        <v>Correy Cottingham</v>
      </c>
      <c r="H62" s="2" t="str" cm="1">
        <f t="array" ref="H62">IF(_xlfn.XLOOKUP(C62,customers!$A$1:A1061,customers!$C$1:C1061,,0) = 0,"", _xlfn.XLOOKUP(C62,customers!$A$1:A1061,customers!$C$1:C1061,,0))</f>
        <v>ccottingham1o@wikipedia.org</v>
      </c>
      <c r="I62" s="2" t="str">
        <f>_xlfn.XLOOKUP(C62,customers!$A$1:$A$1001,customers!$G$1:$G$1001,,0)</f>
        <v>United States</v>
      </c>
      <c r="J62" s="2" t="str">
        <f>_xlfn.XLOOKUP(Orders[[#This Row],[Customer ID]],customers!$A$1:$A$1001,customers!$F$1:$F$1001,,0)</f>
        <v>Fort Wayne</v>
      </c>
      <c r="K62" t="str">
        <f>INDEX(products!$A$1:$G$49,MATCH(orders!$D62,products!$A$1:$A$49,0),MATCH(orders!K$1,products!$A$1:$G$1,0))</f>
        <v>Ara</v>
      </c>
      <c r="L62" t="str">
        <f>INDEX(products!$A$1:$G$49,MATCH(orders!$D62,products!$A$1:$A$49,0),MATCH(orders!L$1,products!$A$1:$G$1,0))</f>
        <v>D</v>
      </c>
      <c r="M62" s="14">
        <f>INDEX(products!$A$1:$G$49,MATCH(orders!$D62,products!$A$1:$A$49,0),MATCH(orders!M$1,products!$A$1:$G$1,0))</f>
        <v>2.5</v>
      </c>
      <c r="N62" s="4">
        <f>INDEX(products!$A$1:$G$49,MATCH(orders!$D62,products!$A$1:$A$49,0),MATCH(orders!N$1,products!$A$1:$G$1,0))</f>
        <v>22.884999999999998</v>
      </c>
      <c r="O62" s="13">
        <f t="shared" si="0"/>
        <v>114.42499999999998</v>
      </c>
      <c r="P62" s="13">
        <f>_xlfn.XLOOKUP(Orders[[#This Row],[Product ID]],products!$A$1:$A$49,products!$G$1:$G$49,,0)</f>
        <v>2.0596499999999995</v>
      </c>
      <c r="Q62" s="13">
        <f t="shared" si="1"/>
        <v>10.298249999999998</v>
      </c>
      <c r="R62" t="str">
        <f t="shared" si="2"/>
        <v>Arabica</v>
      </c>
      <c r="S62" t="str">
        <f t="shared" si="3"/>
        <v>Dark</v>
      </c>
      <c r="T62" t="str">
        <f>_xlfn.XLOOKUP(Orders[[#This Row],[Customer ID]],customers!$A$1:$A$1001,customers!$I$1:$I$1001,,0)</f>
        <v>No</v>
      </c>
    </row>
    <row r="63" spans="1:20" x14ac:dyDescent="0.35">
      <c r="A63" s="2" t="s">
        <v>833</v>
      </c>
      <c r="B63" s="3">
        <v>43521</v>
      </c>
      <c r="C63" s="2" t="s">
        <v>834</v>
      </c>
      <c r="D63" t="s">
        <v>6172</v>
      </c>
      <c r="E63" t="str">
        <f t="shared" si="4"/>
        <v>Robusta-Dark-0.5</v>
      </c>
      <c r="F63" s="2">
        <v>5</v>
      </c>
      <c r="G63" s="2" t="str" cm="1">
        <f t="array" ref="G63">_xlfn.XLOOKUP(C63, customers!$A$1:A1062,customers!$B$1:B1062,,0)</f>
        <v>Pammi Endacott</v>
      </c>
      <c r="H63" s="2" t="str" cm="1">
        <f t="array" ref="H63">IF(_xlfn.XLOOKUP(C63,customers!$A$1:A1062,customers!$C$1:C1062,,0) = 0,"", _xlfn.XLOOKUP(C63,customers!$A$1:A1062,customers!$C$1:C1062,,0))</f>
        <v/>
      </c>
      <c r="I63" s="2" t="str">
        <f>_xlfn.XLOOKUP(C63,customers!$A$1:$A$1001,customers!$G$1:$G$1001,,0)</f>
        <v>United Kingdom</v>
      </c>
      <c r="J63" s="2" t="str">
        <f>_xlfn.XLOOKUP(Orders[[#This Row],[Customer ID]],customers!$A$1:$A$1001,customers!$F$1:$F$1001,,0)</f>
        <v>Wootton</v>
      </c>
      <c r="K63" t="str">
        <f>INDEX(products!$A$1:$G$49,MATCH(orders!$D63,products!$A$1:$A$49,0),MATCH(orders!K$1,products!$A$1:$G$1,0))</f>
        <v>Rob</v>
      </c>
      <c r="L63" t="str">
        <f>INDEX(products!$A$1:$G$49,MATCH(orders!$D63,products!$A$1:$A$49,0),MATCH(orders!L$1,products!$A$1:$G$1,0))</f>
        <v>D</v>
      </c>
      <c r="M63" s="14">
        <f>INDEX(products!$A$1:$G$49,MATCH(orders!$D63,products!$A$1:$A$49,0),MATCH(orders!M$1,products!$A$1:$G$1,0))</f>
        <v>0.5</v>
      </c>
      <c r="N63" s="4">
        <f>INDEX(products!$A$1:$G$49,MATCH(orders!$D63,products!$A$1:$A$49,0),MATCH(orders!N$1,products!$A$1:$G$1,0))</f>
        <v>5.3699999999999992</v>
      </c>
      <c r="O63" s="13">
        <f t="shared" si="0"/>
        <v>26.849999999999994</v>
      </c>
      <c r="P63" s="13">
        <f>_xlfn.XLOOKUP(Orders[[#This Row],[Product ID]],products!$A$1:$A$49,products!$G$1:$G$49,,0)</f>
        <v>0.32219999999999993</v>
      </c>
      <c r="Q63" s="13">
        <f t="shared" si="1"/>
        <v>1.6109999999999998</v>
      </c>
      <c r="R63" t="str">
        <f t="shared" si="2"/>
        <v>Robusta</v>
      </c>
      <c r="S63" t="str">
        <f t="shared" si="3"/>
        <v>Dark</v>
      </c>
      <c r="T63" t="str">
        <f>_xlfn.XLOOKUP(Orders[[#This Row],[Customer ID]],customers!$A$1:$A$1001,customers!$I$1:$I$1001,,0)</f>
        <v>Yes</v>
      </c>
    </row>
    <row r="64" spans="1:20" x14ac:dyDescent="0.35">
      <c r="A64" s="2" t="s">
        <v>838</v>
      </c>
      <c r="B64" s="3">
        <v>43505</v>
      </c>
      <c r="C64" s="2" t="s">
        <v>839</v>
      </c>
      <c r="D64" t="s">
        <v>6145</v>
      </c>
      <c r="E64" t="str">
        <f t="shared" si="4"/>
        <v>Liberica-Light-0.2</v>
      </c>
      <c r="F64" s="2">
        <v>5</v>
      </c>
      <c r="G64" s="2" t="str" cm="1">
        <f t="array" ref="G64">_xlfn.XLOOKUP(C64, customers!$A$1:A1063,customers!$B$1:B1063,,0)</f>
        <v>Nona Linklater</v>
      </c>
      <c r="H64" s="2" t="str" cm="1">
        <f t="array" ref="H64">IF(_xlfn.XLOOKUP(C64,customers!$A$1:A1063,customers!$C$1:C1063,,0) = 0,"", _xlfn.XLOOKUP(C64,customers!$A$1:A1063,customers!$C$1:C1063,,0))</f>
        <v/>
      </c>
      <c r="I64" s="2" t="str">
        <f>_xlfn.XLOOKUP(C64,customers!$A$1:$A$1001,customers!$G$1:$G$1001,,0)</f>
        <v>United States</v>
      </c>
      <c r="J64" s="2" t="str">
        <f>_xlfn.XLOOKUP(Orders[[#This Row],[Customer ID]],customers!$A$1:$A$1001,customers!$F$1:$F$1001,,0)</f>
        <v>Naples</v>
      </c>
      <c r="K64" t="str">
        <f>INDEX(products!$A$1:$G$49,MATCH(orders!$D64,products!$A$1:$A$49,0),MATCH(orders!K$1,products!$A$1:$G$1,0))</f>
        <v>Lib</v>
      </c>
      <c r="L64" t="str">
        <f>INDEX(products!$A$1:$G$49,MATCH(orders!$D64,products!$A$1:$A$49,0),MATCH(orders!L$1,products!$A$1:$G$1,0))</f>
        <v>L</v>
      </c>
      <c r="M64" s="14">
        <f>INDEX(products!$A$1:$G$49,MATCH(orders!$D64,products!$A$1:$A$49,0),MATCH(orders!M$1,products!$A$1:$G$1,0))</f>
        <v>0.2</v>
      </c>
      <c r="N64" s="4">
        <f>INDEX(products!$A$1:$G$49,MATCH(orders!$D64,products!$A$1:$A$49,0),MATCH(orders!N$1,products!$A$1:$G$1,0))</f>
        <v>4.7549999999999999</v>
      </c>
      <c r="O64" s="13">
        <f t="shared" si="0"/>
        <v>23.774999999999999</v>
      </c>
      <c r="P64" s="13">
        <f>_xlfn.XLOOKUP(Orders[[#This Row],[Product ID]],products!$A$1:$A$49,products!$G$1:$G$49,,0)</f>
        <v>0.61814999999999998</v>
      </c>
      <c r="Q64" s="13">
        <f t="shared" si="1"/>
        <v>3.0907499999999999</v>
      </c>
      <c r="R64" t="str">
        <f t="shared" si="2"/>
        <v>Liberica</v>
      </c>
      <c r="S64" t="str">
        <f t="shared" si="3"/>
        <v>Light</v>
      </c>
      <c r="T64" t="str">
        <f>_xlfn.XLOOKUP(Orders[[#This Row],[Customer ID]],customers!$A$1:$A$1001,customers!$I$1:$I$1001,,0)</f>
        <v>Yes</v>
      </c>
    </row>
    <row r="65" spans="1:20" x14ac:dyDescent="0.35">
      <c r="A65" s="2" t="s">
        <v>843</v>
      </c>
      <c r="B65" s="3">
        <v>43868</v>
      </c>
      <c r="C65" s="2" t="s">
        <v>844</v>
      </c>
      <c r="D65" t="s">
        <v>6157</v>
      </c>
      <c r="E65" t="str">
        <f t="shared" si="4"/>
        <v>Arabica-Medium-0.5</v>
      </c>
      <c r="F65" s="2">
        <v>1</v>
      </c>
      <c r="G65" s="2" t="str" cm="1">
        <f t="array" ref="G65">_xlfn.XLOOKUP(C65, customers!$A$1:A1064,customers!$B$1:B1064,,0)</f>
        <v>Annadiane Dykes</v>
      </c>
      <c r="H65" s="2" t="str" cm="1">
        <f t="array" ref="H65">IF(_xlfn.XLOOKUP(C65,customers!$A$1:A1064,customers!$C$1:C1064,,0) = 0,"", _xlfn.XLOOKUP(C65,customers!$A$1:A1064,customers!$C$1:C1064,,0))</f>
        <v>adykes1r@eventbrite.com</v>
      </c>
      <c r="I65" s="2" t="str">
        <f>_xlfn.XLOOKUP(C65,customers!$A$1:$A$1001,customers!$G$1:$G$1001,,0)</f>
        <v>United States</v>
      </c>
      <c r="J65" s="2" t="str">
        <f>_xlfn.XLOOKUP(Orders[[#This Row],[Customer ID]],customers!$A$1:$A$1001,customers!$F$1:$F$1001,,0)</f>
        <v>Chicago</v>
      </c>
      <c r="K65" t="str">
        <f>INDEX(products!$A$1:$G$49,MATCH(orders!$D65,products!$A$1:$A$49,0),MATCH(orders!K$1,products!$A$1:$G$1,0))</f>
        <v>Ara</v>
      </c>
      <c r="L65" t="str">
        <f>INDEX(products!$A$1:$G$49,MATCH(orders!$D65,products!$A$1:$A$49,0),MATCH(orders!L$1,products!$A$1:$G$1,0))</f>
        <v>M</v>
      </c>
      <c r="M65" s="14">
        <f>INDEX(products!$A$1:$G$49,MATCH(orders!$D65,products!$A$1:$A$49,0),MATCH(orders!M$1,products!$A$1:$G$1,0))</f>
        <v>0.5</v>
      </c>
      <c r="N65" s="4">
        <f>INDEX(products!$A$1:$G$49,MATCH(orders!$D65,products!$A$1:$A$49,0),MATCH(orders!N$1,products!$A$1:$G$1,0))</f>
        <v>6.75</v>
      </c>
      <c r="O65" s="13">
        <f t="shared" si="0"/>
        <v>6.75</v>
      </c>
      <c r="P65" s="13">
        <f>_xlfn.XLOOKUP(Orders[[#This Row],[Product ID]],products!$A$1:$A$49,products!$G$1:$G$49,,0)</f>
        <v>0.60749999999999993</v>
      </c>
      <c r="Q65" s="13">
        <f t="shared" si="1"/>
        <v>0.60749999999999993</v>
      </c>
      <c r="R65" t="str">
        <f t="shared" si="2"/>
        <v>Arabica</v>
      </c>
      <c r="S65" t="str">
        <f t="shared" si="3"/>
        <v>Medium</v>
      </c>
      <c r="T65" t="str">
        <f>_xlfn.XLOOKUP(Orders[[#This Row],[Customer ID]],customers!$A$1:$A$1001,customers!$I$1:$I$1001,,0)</f>
        <v>No</v>
      </c>
    </row>
    <row r="66" spans="1:20" x14ac:dyDescent="0.35">
      <c r="A66" s="2" t="s">
        <v>849</v>
      </c>
      <c r="B66" s="3">
        <v>43913</v>
      </c>
      <c r="C66" s="2" t="s">
        <v>850</v>
      </c>
      <c r="D66" t="s">
        <v>6146</v>
      </c>
      <c r="E66" t="str">
        <f t="shared" si="4"/>
        <v>Robusta-Medium-0.5</v>
      </c>
      <c r="F66" s="2">
        <v>6</v>
      </c>
      <c r="G66" s="2" t="str" cm="1">
        <f t="array" ref="G66">_xlfn.XLOOKUP(C66, customers!$A$1:A1065,customers!$B$1:B1065,,0)</f>
        <v>Felecia Dodgson</v>
      </c>
      <c r="H66" s="2" t="str" cm="1">
        <f t="array" ref="H66">IF(_xlfn.XLOOKUP(C66,customers!$A$1:A1065,customers!$C$1:C1065,,0) = 0,"", _xlfn.XLOOKUP(C66,customers!$A$1:A1065,customers!$C$1:C1065,,0))</f>
        <v/>
      </c>
      <c r="I66" s="2" t="str">
        <f>_xlfn.XLOOKUP(C66,customers!$A$1:$A$1001,customers!$G$1:$G$1001,,0)</f>
        <v>United States</v>
      </c>
      <c r="J66" s="2" t="str">
        <f>_xlfn.XLOOKUP(Orders[[#This Row],[Customer ID]],customers!$A$1:$A$1001,customers!$F$1:$F$1001,,0)</f>
        <v>Newark</v>
      </c>
      <c r="K66" t="str">
        <f>INDEX(products!$A$1:$G$49,MATCH(orders!$D66,products!$A$1:$A$49,0),MATCH(orders!K$1,products!$A$1:$G$1,0))</f>
        <v>Rob</v>
      </c>
      <c r="L66" t="str">
        <f>INDEX(products!$A$1:$G$49,MATCH(orders!$D66,products!$A$1:$A$49,0),MATCH(orders!L$1,products!$A$1:$G$1,0))</f>
        <v>M</v>
      </c>
      <c r="M66" s="14">
        <f>INDEX(products!$A$1:$G$49,MATCH(orders!$D66,products!$A$1:$A$49,0),MATCH(orders!M$1,products!$A$1:$G$1,0))</f>
        <v>0.5</v>
      </c>
      <c r="N66" s="4">
        <f>INDEX(products!$A$1:$G$49,MATCH(orders!$D66,products!$A$1:$A$49,0),MATCH(orders!N$1,products!$A$1:$G$1,0))</f>
        <v>5.97</v>
      </c>
      <c r="O66" s="13">
        <f t="shared" ref="O66:O129" si="5">N66*F66</f>
        <v>35.82</v>
      </c>
      <c r="P66" s="13">
        <f>_xlfn.XLOOKUP(Orders[[#This Row],[Product ID]],products!$A$1:$A$49,products!$G$1:$G$49,,0)</f>
        <v>0.35819999999999996</v>
      </c>
      <c r="Q66" s="13">
        <f t="shared" ref="Q66:Q129" si="6">P66*F66</f>
        <v>2.1491999999999996</v>
      </c>
      <c r="R66" t="str">
        <f t="shared" si="2"/>
        <v>Robusta</v>
      </c>
      <c r="S66" t="str">
        <f t="shared" si="3"/>
        <v>Medium</v>
      </c>
      <c r="T66" t="str">
        <f>_xlfn.XLOOKUP(Orders[[#This Row],[Customer ID]],customers!$A$1:$A$1001,customers!$I$1:$I$1001,,0)</f>
        <v>Yes</v>
      </c>
    </row>
    <row r="67" spans="1:20" x14ac:dyDescent="0.35">
      <c r="A67" s="2" t="s">
        <v>854</v>
      </c>
      <c r="B67" s="3">
        <v>44626</v>
      </c>
      <c r="C67" s="2" t="s">
        <v>855</v>
      </c>
      <c r="D67" t="s">
        <v>6149</v>
      </c>
      <c r="E67" t="str">
        <f t="shared" ref="E67:E130" si="7">IF(LEFT(D67,1)="R", "Robusta",
    IF(LEFT(D67,1)="A", "Arabica",
        IF(LEFT(D67,1)="E", "Excelsa",
            IF(LEFT(D67,1)="L", "Liberica", "")
        )
    )
) &amp; "-" &amp;
IF(MID(D67,3,1)="D", "Dark",
    IF(MID(D67,3,1)="M", "Medium",
        IF(MID(D67,3,1)="L", "Light", "")
    )
) &amp; "-" &amp;
MID(D67,5,LEN(D67)-4)</f>
        <v>Robusta-Dark-2.5</v>
      </c>
      <c r="F67" s="2">
        <v>4</v>
      </c>
      <c r="G67" s="2" t="str" cm="1">
        <f t="array" ref="G67">_xlfn.XLOOKUP(C67, customers!$A$1:A1066,customers!$B$1:B1066,,0)</f>
        <v>Angelia Cockrem</v>
      </c>
      <c r="H67" s="2" t="str" cm="1">
        <f t="array" ref="H67">IF(_xlfn.XLOOKUP(C67,customers!$A$1:A1066,customers!$C$1:C1066,,0) = 0,"", _xlfn.XLOOKUP(C67,customers!$A$1:A1066,customers!$C$1:C1066,,0))</f>
        <v>acockrem1t@engadget.com</v>
      </c>
      <c r="I67" s="2" t="str">
        <f>_xlfn.XLOOKUP(C67,customers!$A$1:$A$1001,customers!$G$1:$G$1001,,0)</f>
        <v>United States</v>
      </c>
      <c r="J67" s="2" t="str">
        <f>_xlfn.XLOOKUP(Orders[[#This Row],[Customer ID]],customers!$A$1:$A$1001,customers!$F$1:$F$1001,,0)</f>
        <v>Vienna</v>
      </c>
      <c r="K67" t="str">
        <f>INDEX(products!$A$1:$G$49,MATCH(orders!$D67,products!$A$1:$A$49,0),MATCH(orders!K$1,products!$A$1:$G$1,0))</f>
        <v>Rob</v>
      </c>
      <c r="L67" t="str">
        <f>INDEX(products!$A$1:$G$49,MATCH(orders!$D67,products!$A$1:$A$49,0),MATCH(orders!L$1,products!$A$1:$G$1,0))</f>
        <v>D</v>
      </c>
      <c r="M67" s="14">
        <f>INDEX(products!$A$1:$G$49,MATCH(orders!$D67,products!$A$1:$A$49,0),MATCH(orders!M$1,products!$A$1:$G$1,0))</f>
        <v>2.5</v>
      </c>
      <c r="N67" s="4">
        <f>INDEX(products!$A$1:$G$49,MATCH(orders!$D67,products!$A$1:$A$49,0),MATCH(orders!N$1,products!$A$1:$G$1,0))</f>
        <v>20.584999999999997</v>
      </c>
      <c r="O67" s="13">
        <f t="shared" si="5"/>
        <v>82.339999999999989</v>
      </c>
      <c r="P67" s="13">
        <f>_xlfn.XLOOKUP(Orders[[#This Row],[Product ID]],products!$A$1:$A$49,products!$G$1:$G$49,,0)</f>
        <v>1.2350999999999999</v>
      </c>
      <c r="Q67" s="13">
        <f t="shared" si="6"/>
        <v>4.9403999999999995</v>
      </c>
      <c r="R67" t="str">
        <f t="shared" ref="R67:R130" si="8">IF(K67="Rob","Robusta",IF(K67="Exc","Execelsa",IF(K67="Ara","Arabica",IF(K67="Lib","Liberica",""))))</f>
        <v>Robusta</v>
      </c>
      <c r="S67" t="str">
        <f t="shared" ref="S67:S130" si="9" xml:space="preserve"> IF(L67="M", "Medium", IF(L67="L","Light",IF(L67="D","Dark","")))</f>
        <v>Dark</v>
      </c>
      <c r="T67" t="str">
        <f>_xlfn.XLOOKUP(Orders[[#This Row],[Customer ID]],customers!$A$1:$A$1001,customers!$I$1:$I$1001,,0)</f>
        <v>Yes</v>
      </c>
    </row>
    <row r="68" spans="1:20" x14ac:dyDescent="0.35">
      <c r="A68" s="2" t="s">
        <v>860</v>
      </c>
      <c r="B68" s="3">
        <v>44666</v>
      </c>
      <c r="C68" s="2" t="s">
        <v>861</v>
      </c>
      <c r="D68" t="s">
        <v>6173</v>
      </c>
      <c r="E68" t="str">
        <f t="shared" si="7"/>
        <v>Robusta-Light-0.5</v>
      </c>
      <c r="F68" s="2">
        <v>1</v>
      </c>
      <c r="G68" s="2" t="str" cm="1">
        <f t="array" ref="G68">_xlfn.XLOOKUP(C68, customers!$A$1:A1067,customers!$B$1:B1067,,0)</f>
        <v>Belvia Umpleby</v>
      </c>
      <c r="H68" s="2" t="str" cm="1">
        <f t="array" ref="H68">IF(_xlfn.XLOOKUP(C68,customers!$A$1:A1067,customers!$C$1:C1067,,0) = 0,"", _xlfn.XLOOKUP(C68,customers!$A$1:A1067,customers!$C$1:C1067,,0))</f>
        <v>bumpleby1u@soundcloud.com</v>
      </c>
      <c r="I68" s="2" t="str">
        <f>_xlfn.XLOOKUP(C68,customers!$A$1:$A$1001,customers!$G$1:$G$1001,,0)</f>
        <v>United States</v>
      </c>
      <c r="J68" s="2" t="str">
        <f>_xlfn.XLOOKUP(Orders[[#This Row],[Customer ID]],customers!$A$1:$A$1001,customers!$F$1:$F$1001,,0)</f>
        <v>Fort Worth</v>
      </c>
      <c r="K68" t="str">
        <f>INDEX(products!$A$1:$G$49,MATCH(orders!$D68,products!$A$1:$A$49,0),MATCH(orders!K$1,products!$A$1:$G$1,0))</f>
        <v>Rob</v>
      </c>
      <c r="L68" t="str">
        <f>INDEX(products!$A$1:$G$49,MATCH(orders!$D68,products!$A$1:$A$49,0),MATCH(orders!L$1,products!$A$1:$G$1,0))</f>
        <v>L</v>
      </c>
      <c r="M68" s="14">
        <f>INDEX(products!$A$1:$G$49,MATCH(orders!$D68,products!$A$1:$A$49,0),MATCH(orders!M$1,products!$A$1:$G$1,0))</f>
        <v>0.5</v>
      </c>
      <c r="N68" s="4">
        <f>INDEX(products!$A$1:$G$49,MATCH(orders!$D68,products!$A$1:$A$49,0),MATCH(orders!N$1,products!$A$1:$G$1,0))</f>
        <v>7.169999999999999</v>
      </c>
      <c r="O68" s="13">
        <f t="shared" si="5"/>
        <v>7.169999999999999</v>
      </c>
      <c r="P68" s="13">
        <f>_xlfn.XLOOKUP(Orders[[#This Row],[Product ID]],products!$A$1:$A$49,products!$G$1:$G$49,,0)</f>
        <v>0.43019999999999992</v>
      </c>
      <c r="Q68" s="13">
        <f t="shared" si="6"/>
        <v>0.43019999999999992</v>
      </c>
      <c r="R68" t="str">
        <f t="shared" si="8"/>
        <v>Robusta</v>
      </c>
      <c r="S68" t="str">
        <f t="shared" si="9"/>
        <v>Light</v>
      </c>
      <c r="T68" t="str">
        <f>_xlfn.XLOOKUP(Orders[[#This Row],[Customer ID]],customers!$A$1:$A$1001,customers!$I$1:$I$1001,,0)</f>
        <v>Yes</v>
      </c>
    </row>
    <row r="69" spans="1:20" x14ac:dyDescent="0.35">
      <c r="A69" s="2" t="s">
        <v>866</v>
      </c>
      <c r="B69" s="3">
        <v>44519</v>
      </c>
      <c r="C69" s="2" t="s">
        <v>867</v>
      </c>
      <c r="D69" t="s">
        <v>6145</v>
      </c>
      <c r="E69" t="str">
        <f t="shared" si="7"/>
        <v>Liberica-Light-0.2</v>
      </c>
      <c r="F69" s="2">
        <v>2</v>
      </c>
      <c r="G69" s="2" t="str" cm="1">
        <f t="array" ref="G69">_xlfn.XLOOKUP(C69, customers!$A$1:A1068,customers!$B$1:B1068,,0)</f>
        <v>Nat Saleway</v>
      </c>
      <c r="H69" s="2" t="str" cm="1">
        <f t="array" ref="H69">IF(_xlfn.XLOOKUP(C69,customers!$A$1:A1068,customers!$C$1:C1068,,0) = 0,"", _xlfn.XLOOKUP(C69,customers!$A$1:A1068,customers!$C$1:C1068,,0))</f>
        <v>nsaleway1v@dedecms.com</v>
      </c>
      <c r="I69" s="2" t="str">
        <f>_xlfn.XLOOKUP(C69,customers!$A$1:$A$1001,customers!$G$1:$G$1001,,0)</f>
        <v>United States</v>
      </c>
      <c r="J69" s="2" t="str">
        <f>_xlfn.XLOOKUP(Orders[[#This Row],[Customer ID]],customers!$A$1:$A$1001,customers!$F$1:$F$1001,,0)</f>
        <v>Burbank</v>
      </c>
      <c r="K69" t="str">
        <f>INDEX(products!$A$1:$G$49,MATCH(orders!$D69,products!$A$1:$A$49,0),MATCH(orders!K$1,products!$A$1:$G$1,0))</f>
        <v>Lib</v>
      </c>
      <c r="L69" t="str">
        <f>INDEX(products!$A$1:$G$49,MATCH(orders!$D69,products!$A$1:$A$49,0),MATCH(orders!L$1,products!$A$1:$G$1,0))</f>
        <v>L</v>
      </c>
      <c r="M69" s="14">
        <f>INDEX(products!$A$1:$G$49,MATCH(orders!$D69,products!$A$1:$A$49,0),MATCH(orders!M$1,products!$A$1:$G$1,0))</f>
        <v>0.2</v>
      </c>
      <c r="N69" s="4">
        <f>INDEX(products!$A$1:$G$49,MATCH(orders!$D69,products!$A$1:$A$49,0),MATCH(orders!N$1,products!$A$1:$G$1,0))</f>
        <v>4.7549999999999999</v>
      </c>
      <c r="O69" s="13">
        <f t="shared" si="5"/>
        <v>9.51</v>
      </c>
      <c r="P69" s="13">
        <f>_xlfn.XLOOKUP(Orders[[#This Row],[Product ID]],products!$A$1:$A$49,products!$G$1:$G$49,,0)</f>
        <v>0.61814999999999998</v>
      </c>
      <c r="Q69" s="13">
        <f t="shared" si="6"/>
        <v>1.2363</v>
      </c>
      <c r="R69" t="str">
        <f t="shared" si="8"/>
        <v>Liberica</v>
      </c>
      <c r="S69" t="str">
        <f t="shared" si="9"/>
        <v>Light</v>
      </c>
      <c r="T69" t="str">
        <f>_xlfn.XLOOKUP(Orders[[#This Row],[Customer ID]],customers!$A$1:$A$1001,customers!$I$1:$I$1001,,0)</f>
        <v>No</v>
      </c>
    </row>
    <row r="70" spans="1:20" x14ac:dyDescent="0.35">
      <c r="A70" s="2" t="s">
        <v>872</v>
      </c>
      <c r="B70" s="3">
        <v>43754</v>
      </c>
      <c r="C70" s="2" t="s">
        <v>873</v>
      </c>
      <c r="D70" t="s">
        <v>6174</v>
      </c>
      <c r="E70" t="str">
        <f t="shared" si="7"/>
        <v>Robusta-Medium-0.2</v>
      </c>
      <c r="F70" s="2">
        <v>1</v>
      </c>
      <c r="G70" s="2" t="str" cm="1">
        <f t="array" ref="G70">_xlfn.XLOOKUP(C70, customers!$A$1:A1069,customers!$B$1:B1069,,0)</f>
        <v>Hayward Goulter</v>
      </c>
      <c r="H70" s="2" t="str" cm="1">
        <f t="array" ref="H70">IF(_xlfn.XLOOKUP(C70,customers!$A$1:A1069,customers!$C$1:C1069,,0) = 0,"", _xlfn.XLOOKUP(C70,customers!$A$1:A1069,customers!$C$1:C1069,,0))</f>
        <v>hgoulter1w@abc.net.au</v>
      </c>
      <c r="I70" s="2" t="str">
        <f>_xlfn.XLOOKUP(C70,customers!$A$1:$A$1001,customers!$G$1:$G$1001,,0)</f>
        <v>United States</v>
      </c>
      <c r="J70" s="2" t="str">
        <f>_xlfn.XLOOKUP(Orders[[#This Row],[Customer ID]],customers!$A$1:$A$1001,customers!$F$1:$F$1001,,0)</f>
        <v>Kingsport</v>
      </c>
      <c r="K70" t="str">
        <f>INDEX(products!$A$1:$G$49,MATCH(orders!$D70,products!$A$1:$A$49,0),MATCH(orders!K$1,products!$A$1:$G$1,0))</f>
        <v>Rob</v>
      </c>
      <c r="L70" t="str">
        <f>INDEX(products!$A$1:$G$49,MATCH(orders!$D70,products!$A$1:$A$49,0),MATCH(orders!L$1,products!$A$1:$G$1,0))</f>
        <v>M</v>
      </c>
      <c r="M70" s="14">
        <f>INDEX(products!$A$1:$G$49,MATCH(orders!$D70,products!$A$1:$A$49,0),MATCH(orders!M$1,products!$A$1:$G$1,0))</f>
        <v>0.2</v>
      </c>
      <c r="N70" s="4">
        <f>INDEX(products!$A$1:$G$49,MATCH(orders!$D70,products!$A$1:$A$49,0),MATCH(orders!N$1,products!$A$1:$G$1,0))</f>
        <v>2.9849999999999999</v>
      </c>
      <c r="O70" s="13">
        <f t="shared" si="5"/>
        <v>2.9849999999999999</v>
      </c>
      <c r="P70" s="13">
        <f>_xlfn.XLOOKUP(Orders[[#This Row],[Product ID]],products!$A$1:$A$49,products!$G$1:$G$49,,0)</f>
        <v>0.17909999999999998</v>
      </c>
      <c r="Q70" s="13">
        <f t="shared" si="6"/>
        <v>0.17909999999999998</v>
      </c>
      <c r="R70" t="str">
        <f t="shared" si="8"/>
        <v>Robusta</v>
      </c>
      <c r="S70" t="str">
        <f t="shared" si="9"/>
        <v>Medium</v>
      </c>
      <c r="T70" t="str">
        <f>_xlfn.XLOOKUP(Orders[[#This Row],[Customer ID]],customers!$A$1:$A$1001,customers!$I$1:$I$1001,,0)</f>
        <v>No</v>
      </c>
    </row>
    <row r="71" spans="1:20" x14ac:dyDescent="0.35">
      <c r="A71" s="2" t="s">
        <v>878</v>
      </c>
      <c r="B71" s="3">
        <v>43795</v>
      </c>
      <c r="C71" s="2" t="s">
        <v>879</v>
      </c>
      <c r="D71" t="s">
        <v>6138</v>
      </c>
      <c r="E71" t="str">
        <f t="shared" si="7"/>
        <v>Robusta-Medium-1</v>
      </c>
      <c r="F71" s="2">
        <v>6</v>
      </c>
      <c r="G71" s="2" t="str" cm="1">
        <f t="array" ref="G71">_xlfn.XLOOKUP(C71, customers!$A$1:A1070,customers!$B$1:B1070,,0)</f>
        <v>Gay Rizzello</v>
      </c>
      <c r="H71" s="2" t="str" cm="1">
        <f t="array" ref="H71">IF(_xlfn.XLOOKUP(C71,customers!$A$1:A1070,customers!$C$1:C1070,,0) = 0,"", _xlfn.XLOOKUP(C71,customers!$A$1:A1070,customers!$C$1:C1070,,0))</f>
        <v>grizzello1x@symantec.com</v>
      </c>
      <c r="I71" s="2" t="str">
        <f>_xlfn.XLOOKUP(C71,customers!$A$1:$A$1001,customers!$G$1:$G$1001,,0)</f>
        <v>United Kingdom</v>
      </c>
      <c r="J71" s="2" t="str">
        <f>_xlfn.XLOOKUP(Orders[[#This Row],[Customer ID]],customers!$A$1:$A$1001,customers!$F$1:$F$1001,,0)</f>
        <v>Liverpool</v>
      </c>
      <c r="K71" t="str">
        <f>INDEX(products!$A$1:$G$49,MATCH(orders!$D71,products!$A$1:$A$49,0),MATCH(orders!K$1,products!$A$1:$G$1,0))</f>
        <v>Rob</v>
      </c>
      <c r="L71" t="str">
        <f>INDEX(products!$A$1:$G$49,MATCH(orders!$D71,products!$A$1:$A$49,0),MATCH(orders!L$1,products!$A$1:$G$1,0))</f>
        <v>M</v>
      </c>
      <c r="M71" s="14">
        <f>INDEX(products!$A$1:$G$49,MATCH(orders!$D71,products!$A$1:$A$49,0),MATCH(orders!M$1,products!$A$1:$G$1,0))</f>
        <v>1</v>
      </c>
      <c r="N71" s="4">
        <f>INDEX(products!$A$1:$G$49,MATCH(orders!$D71,products!$A$1:$A$49,0),MATCH(orders!N$1,products!$A$1:$G$1,0))</f>
        <v>9.9499999999999993</v>
      </c>
      <c r="O71" s="13">
        <f t="shared" si="5"/>
        <v>59.699999999999996</v>
      </c>
      <c r="P71" s="13">
        <f>_xlfn.XLOOKUP(Orders[[#This Row],[Product ID]],products!$A$1:$A$49,products!$G$1:$G$49,,0)</f>
        <v>0.59699999999999998</v>
      </c>
      <c r="Q71" s="13">
        <f t="shared" si="6"/>
        <v>3.5819999999999999</v>
      </c>
      <c r="R71" t="str">
        <f t="shared" si="8"/>
        <v>Robusta</v>
      </c>
      <c r="S71" t="str">
        <f t="shared" si="9"/>
        <v>Medium</v>
      </c>
      <c r="T71" t="str">
        <f>_xlfn.XLOOKUP(Orders[[#This Row],[Customer ID]],customers!$A$1:$A$1001,customers!$I$1:$I$1001,,0)</f>
        <v>Yes</v>
      </c>
    </row>
    <row r="72" spans="1:20" x14ac:dyDescent="0.35">
      <c r="A72" s="2" t="s">
        <v>885</v>
      </c>
      <c r="B72" s="3">
        <v>43646</v>
      </c>
      <c r="C72" s="2" t="s">
        <v>886</v>
      </c>
      <c r="D72" t="s">
        <v>6148</v>
      </c>
      <c r="E72" t="str">
        <f t="shared" si="7"/>
        <v>Excelsa-Light-2.5</v>
      </c>
      <c r="F72" s="2">
        <v>4</v>
      </c>
      <c r="G72" s="2" t="str" cm="1">
        <f t="array" ref="G72">_xlfn.XLOOKUP(C72, customers!$A$1:A1071,customers!$B$1:B1071,,0)</f>
        <v>Shannon List</v>
      </c>
      <c r="H72" s="2" t="str" cm="1">
        <f t="array" ref="H72">IF(_xlfn.XLOOKUP(C72,customers!$A$1:A1071,customers!$C$1:C1071,,0) = 0,"", _xlfn.XLOOKUP(C72,customers!$A$1:A1071,customers!$C$1:C1071,,0))</f>
        <v>slist1y@mapquest.com</v>
      </c>
      <c r="I72" s="2" t="str">
        <f>_xlfn.XLOOKUP(C72,customers!$A$1:$A$1001,customers!$G$1:$G$1001,,0)</f>
        <v>United States</v>
      </c>
      <c r="J72" s="2" t="str">
        <f>_xlfn.XLOOKUP(Orders[[#This Row],[Customer ID]],customers!$A$1:$A$1001,customers!$F$1:$F$1001,,0)</f>
        <v>Columbus</v>
      </c>
      <c r="K72" t="str">
        <f>INDEX(products!$A$1:$G$49,MATCH(orders!$D72,products!$A$1:$A$49,0),MATCH(orders!K$1,products!$A$1:$G$1,0))</f>
        <v>Exc</v>
      </c>
      <c r="L72" t="str">
        <f>INDEX(products!$A$1:$G$49,MATCH(orders!$D72,products!$A$1:$A$49,0),MATCH(orders!L$1,products!$A$1:$G$1,0))</f>
        <v>L</v>
      </c>
      <c r="M72" s="14">
        <f>INDEX(products!$A$1:$G$49,MATCH(orders!$D72,products!$A$1:$A$49,0),MATCH(orders!M$1,products!$A$1:$G$1,0))</f>
        <v>2.5</v>
      </c>
      <c r="N72" s="4">
        <f>INDEX(products!$A$1:$G$49,MATCH(orders!$D72,products!$A$1:$A$49,0),MATCH(orders!N$1,products!$A$1:$G$1,0))</f>
        <v>34.154999999999994</v>
      </c>
      <c r="O72" s="13">
        <f t="shared" si="5"/>
        <v>136.61999999999998</v>
      </c>
      <c r="P72" s="13">
        <f>_xlfn.XLOOKUP(Orders[[#This Row],[Product ID]],products!$A$1:$A$49,products!$G$1:$G$49,,0)</f>
        <v>3.7570499999999996</v>
      </c>
      <c r="Q72" s="13">
        <f t="shared" si="6"/>
        <v>15.028199999999998</v>
      </c>
      <c r="R72" t="str">
        <f t="shared" si="8"/>
        <v>Execelsa</v>
      </c>
      <c r="S72" t="str">
        <f t="shared" si="9"/>
        <v>Light</v>
      </c>
      <c r="T72" t="str">
        <f>_xlfn.XLOOKUP(Orders[[#This Row],[Customer ID]],customers!$A$1:$A$1001,customers!$I$1:$I$1001,,0)</f>
        <v>No</v>
      </c>
    </row>
    <row r="73" spans="1:20" x14ac:dyDescent="0.35">
      <c r="A73" s="2" t="s">
        <v>891</v>
      </c>
      <c r="B73" s="3">
        <v>44200</v>
      </c>
      <c r="C73" s="2" t="s">
        <v>892</v>
      </c>
      <c r="D73" t="s">
        <v>6145</v>
      </c>
      <c r="E73" t="str">
        <f t="shared" si="7"/>
        <v>Liberica-Light-0.2</v>
      </c>
      <c r="F73" s="2">
        <v>2</v>
      </c>
      <c r="G73" s="2" t="str" cm="1">
        <f t="array" ref="G73">_xlfn.XLOOKUP(C73, customers!$A$1:A1072,customers!$B$1:B1072,,0)</f>
        <v>Shirlene Edmondson</v>
      </c>
      <c r="H73" s="2" t="str" cm="1">
        <f t="array" ref="H73">IF(_xlfn.XLOOKUP(C73,customers!$A$1:A1072,customers!$C$1:C1072,,0) = 0,"", _xlfn.XLOOKUP(C73,customers!$A$1:A1072,customers!$C$1:C1072,,0))</f>
        <v>sedmondson1z@theguardian.com</v>
      </c>
      <c r="I73" s="2" t="str">
        <f>_xlfn.XLOOKUP(C73,customers!$A$1:$A$1001,customers!$G$1:$G$1001,,0)</f>
        <v>Ireland</v>
      </c>
      <c r="J73" s="2" t="str">
        <f>_xlfn.XLOOKUP(Orders[[#This Row],[Customer ID]],customers!$A$1:$A$1001,customers!$F$1:$F$1001,,0)</f>
        <v>Newmarket on Fergus</v>
      </c>
      <c r="K73" t="str">
        <f>INDEX(products!$A$1:$G$49,MATCH(orders!$D73,products!$A$1:$A$49,0),MATCH(orders!K$1,products!$A$1:$G$1,0))</f>
        <v>Lib</v>
      </c>
      <c r="L73" t="str">
        <f>INDEX(products!$A$1:$G$49,MATCH(orders!$D73,products!$A$1:$A$49,0),MATCH(orders!L$1,products!$A$1:$G$1,0))</f>
        <v>L</v>
      </c>
      <c r="M73" s="14">
        <f>INDEX(products!$A$1:$G$49,MATCH(orders!$D73,products!$A$1:$A$49,0),MATCH(orders!M$1,products!$A$1:$G$1,0))</f>
        <v>0.2</v>
      </c>
      <c r="N73" s="4">
        <f>INDEX(products!$A$1:$G$49,MATCH(orders!$D73,products!$A$1:$A$49,0),MATCH(orders!N$1,products!$A$1:$G$1,0))</f>
        <v>4.7549999999999999</v>
      </c>
      <c r="O73" s="13">
        <f t="shared" si="5"/>
        <v>9.51</v>
      </c>
      <c r="P73" s="13">
        <f>_xlfn.XLOOKUP(Orders[[#This Row],[Product ID]],products!$A$1:$A$49,products!$G$1:$G$49,,0)</f>
        <v>0.61814999999999998</v>
      </c>
      <c r="Q73" s="13">
        <f t="shared" si="6"/>
        <v>1.2363</v>
      </c>
      <c r="R73" t="str">
        <f t="shared" si="8"/>
        <v>Liberica</v>
      </c>
      <c r="S73" t="str">
        <f t="shared" si="9"/>
        <v>Light</v>
      </c>
      <c r="T73" t="str">
        <f>_xlfn.XLOOKUP(Orders[[#This Row],[Customer ID]],customers!$A$1:$A$1001,customers!$I$1:$I$1001,,0)</f>
        <v>No</v>
      </c>
    </row>
    <row r="74" spans="1:20" x14ac:dyDescent="0.35">
      <c r="A74" s="2" t="s">
        <v>897</v>
      </c>
      <c r="B74" s="3">
        <v>44131</v>
      </c>
      <c r="C74" s="2" t="s">
        <v>898</v>
      </c>
      <c r="D74" t="s">
        <v>6175</v>
      </c>
      <c r="E74" t="str">
        <f t="shared" si="7"/>
        <v>Arabica-Medium-2.5</v>
      </c>
      <c r="F74" s="2">
        <v>3</v>
      </c>
      <c r="G74" s="2" t="str" cm="1">
        <f t="array" ref="G74">_xlfn.XLOOKUP(C74, customers!$A$1:A1073,customers!$B$1:B1073,,0)</f>
        <v>Aurlie McCarl</v>
      </c>
      <c r="H74" s="2" t="str" cm="1">
        <f t="array" ref="H74">IF(_xlfn.XLOOKUP(C74,customers!$A$1:A1073,customers!$C$1:C1073,,0) = 0,"", _xlfn.XLOOKUP(C74,customers!$A$1:A1073,customers!$C$1:C1073,,0))</f>
        <v/>
      </c>
      <c r="I74" s="2" t="str">
        <f>_xlfn.XLOOKUP(C74,customers!$A$1:$A$1001,customers!$G$1:$G$1001,,0)</f>
        <v>United States</v>
      </c>
      <c r="J74" s="2" t="str">
        <f>_xlfn.XLOOKUP(Orders[[#This Row],[Customer ID]],customers!$A$1:$A$1001,customers!$F$1:$F$1001,,0)</f>
        <v>New Orleans</v>
      </c>
      <c r="K74" t="str">
        <f>INDEX(products!$A$1:$G$49,MATCH(orders!$D74,products!$A$1:$A$49,0),MATCH(orders!K$1,products!$A$1:$G$1,0))</f>
        <v>Ara</v>
      </c>
      <c r="L74" t="str">
        <f>INDEX(products!$A$1:$G$49,MATCH(orders!$D74,products!$A$1:$A$49,0),MATCH(orders!L$1,products!$A$1:$G$1,0))</f>
        <v>M</v>
      </c>
      <c r="M74" s="14">
        <f>INDEX(products!$A$1:$G$49,MATCH(orders!$D74,products!$A$1:$A$49,0),MATCH(orders!M$1,products!$A$1:$G$1,0))</f>
        <v>2.5</v>
      </c>
      <c r="N74" s="4">
        <f>INDEX(products!$A$1:$G$49,MATCH(orders!$D74,products!$A$1:$A$49,0),MATCH(orders!N$1,products!$A$1:$G$1,0))</f>
        <v>25.874999999999996</v>
      </c>
      <c r="O74" s="13">
        <f t="shared" si="5"/>
        <v>77.624999999999986</v>
      </c>
      <c r="P74" s="13">
        <f>_xlfn.XLOOKUP(Orders[[#This Row],[Product ID]],products!$A$1:$A$49,products!$G$1:$G$49,,0)</f>
        <v>2.3287499999999994</v>
      </c>
      <c r="Q74" s="13">
        <f t="shared" si="6"/>
        <v>6.9862499999999983</v>
      </c>
      <c r="R74" t="str">
        <f t="shared" si="8"/>
        <v>Arabica</v>
      </c>
      <c r="S74" t="str">
        <f t="shared" si="9"/>
        <v>Medium</v>
      </c>
      <c r="T74" t="str">
        <f>_xlfn.XLOOKUP(Orders[[#This Row],[Customer ID]],customers!$A$1:$A$1001,customers!$I$1:$I$1001,,0)</f>
        <v>No</v>
      </c>
    </row>
    <row r="75" spans="1:20" x14ac:dyDescent="0.35">
      <c r="A75" s="2" t="s">
        <v>902</v>
      </c>
      <c r="B75" s="3">
        <v>44362</v>
      </c>
      <c r="C75" s="2" t="s">
        <v>903</v>
      </c>
      <c r="D75" t="s">
        <v>6159</v>
      </c>
      <c r="E75" t="str">
        <f t="shared" si="7"/>
        <v>Liberica-Medium-0.2</v>
      </c>
      <c r="F75" s="2">
        <v>5</v>
      </c>
      <c r="G75" s="2" t="str" cm="1">
        <f t="array" ref="G75">_xlfn.XLOOKUP(C75, customers!$A$1:A1074,customers!$B$1:B1074,,0)</f>
        <v>Alikee Carryer</v>
      </c>
      <c r="H75" s="2" t="str" cm="1">
        <f t="array" ref="H75">IF(_xlfn.XLOOKUP(C75,customers!$A$1:A1074,customers!$C$1:C1074,,0) = 0,"", _xlfn.XLOOKUP(C75,customers!$A$1:A1074,customers!$C$1:C1074,,0))</f>
        <v/>
      </c>
      <c r="I75" s="2" t="str">
        <f>_xlfn.XLOOKUP(C75,customers!$A$1:$A$1001,customers!$G$1:$G$1001,,0)</f>
        <v>United States</v>
      </c>
      <c r="J75" s="2" t="str">
        <f>_xlfn.XLOOKUP(Orders[[#This Row],[Customer ID]],customers!$A$1:$A$1001,customers!$F$1:$F$1001,,0)</f>
        <v>Charlotte</v>
      </c>
      <c r="K75" t="str">
        <f>INDEX(products!$A$1:$G$49,MATCH(orders!$D75,products!$A$1:$A$49,0),MATCH(orders!K$1,products!$A$1:$G$1,0))</f>
        <v>Lib</v>
      </c>
      <c r="L75" t="str">
        <f>INDEX(products!$A$1:$G$49,MATCH(orders!$D75,products!$A$1:$A$49,0),MATCH(orders!L$1,products!$A$1:$G$1,0))</f>
        <v>M</v>
      </c>
      <c r="M75" s="14">
        <f>INDEX(products!$A$1:$G$49,MATCH(orders!$D75,products!$A$1:$A$49,0),MATCH(orders!M$1,products!$A$1:$G$1,0))</f>
        <v>0.2</v>
      </c>
      <c r="N75" s="4">
        <f>INDEX(products!$A$1:$G$49,MATCH(orders!$D75,products!$A$1:$A$49,0),MATCH(orders!N$1,products!$A$1:$G$1,0))</f>
        <v>4.3650000000000002</v>
      </c>
      <c r="O75" s="13">
        <f t="shared" si="5"/>
        <v>21.825000000000003</v>
      </c>
      <c r="P75" s="13">
        <f>_xlfn.XLOOKUP(Orders[[#This Row],[Product ID]],products!$A$1:$A$49,products!$G$1:$G$49,,0)</f>
        <v>0.56745000000000001</v>
      </c>
      <c r="Q75" s="13">
        <f t="shared" si="6"/>
        <v>2.83725</v>
      </c>
      <c r="R75" t="str">
        <f t="shared" si="8"/>
        <v>Liberica</v>
      </c>
      <c r="S75" t="str">
        <f t="shared" si="9"/>
        <v>Medium</v>
      </c>
      <c r="T75" t="str">
        <f>_xlfn.XLOOKUP(Orders[[#This Row],[Customer ID]],customers!$A$1:$A$1001,customers!$I$1:$I$1001,,0)</f>
        <v>Yes</v>
      </c>
    </row>
    <row r="76" spans="1:20" x14ac:dyDescent="0.35">
      <c r="A76" s="2" t="s">
        <v>907</v>
      </c>
      <c r="B76" s="3">
        <v>44396</v>
      </c>
      <c r="C76" s="2" t="s">
        <v>908</v>
      </c>
      <c r="D76" t="s">
        <v>6176</v>
      </c>
      <c r="E76" t="str">
        <f t="shared" si="7"/>
        <v>Excelsa-Light-0.5</v>
      </c>
      <c r="F76" s="2">
        <v>2</v>
      </c>
      <c r="G76" s="2" t="str" cm="1">
        <f t="array" ref="G76">_xlfn.XLOOKUP(C76, customers!$A$1:A1075,customers!$B$1:B1075,,0)</f>
        <v>Jennifer Rangall</v>
      </c>
      <c r="H76" s="2" t="str" cm="1">
        <f t="array" ref="H76">IF(_xlfn.XLOOKUP(C76,customers!$A$1:A1075,customers!$C$1:C1075,,0) = 0,"", _xlfn.XLOOKUP(C76,customers!$A$1:A1075,customers!$C$1:C1075,,0))</f>
        <v>jrangall22@newsvine.com</v>
      </c>
      <c r="I76" s="2" t="str">
        <f>_xlfn.XLOOKUP(C76,customers!$A$1:$A$1001,customers!$G$1:$G$1001,,0)</f>
        <v>United States</v>
      </c>
      <c r="J76" s="2" t="str">
        <f>_xlfn.XLOOKUP(Orders[[#This Row],[Customer ID]],customers!$A$1:$A$1001,customers!$F$1:$F$1001,,0)</f>
        <v>Springfield</v>
      </c>
      <c r="K76" t="str">
        <f>INDEX(products!$A$1:$G$49,MATCH(orders!$D76,products!$A$1:$A$49,0),MATCH(orders!K$1,products!$A$1:$G$1,0))</f>
        <v>Exc</v>
      </c>
      <c r="L76" t="str">
        <f>INDEX(products!$A$1:$G$49,MATCH(orders!$D76,products!$A$1:$A$49,0),MATCH(orders!L$1,products!$A$1:$G$1,0))</f>
        <v>L</v>
      </c>
      <c r="M76" s="14">
        <f>INDEX(products!$A$1:$G$49,MATCH(orders!$D76,products!$A$1:$A$49,0),MATCH(orders!M$1,products!$A$1:$G$1,0))</f>
        <v>0.5</v>
      </c>
      <c r="N76" s="4">
        <f>INDEX(products!$A$1:$G$49,MATCH(orders!$D76,products!$A$1:$A$49,0),MATCH(orders!N$1,products!$A$1:$G$1,0))</f>
        <v>8.91</v>
      </c>
      <c r="O76" s="13">
        <f t="shared" si="5"/>
        <v>17.82</v>
      </c>
      <c r="P76" s="13">
        <f>_xlfn.XLOOKUP(Orders[[#This Row],[Product ID]],products!$A$1:$A$49,products!$G$1:$G$49,,0)</f>
        <v>0.98009999999999997</v>
      </c>
      <c r="Q76" s="13">
        <f t="shared" si="6"/>
        <v>1.9601999999999999</v>
      </c>
      <c r="R76" t="str">
        <f t="shared" si="8"/>
        <v>Execelsa</v>
      </c>
      <c r="S76" t="str">
        <f t="shared" si="9"/>
        <v>Light</v>
      </c>
      <c r="T76" t="str">
        <f>_xlfn.XLOOKUP(Orders[[#This Row],[Customer ID]],customers!$A$1:$A$1001,customers!$I$1:$I$1001,,0)</f>
        <v>Yes</v>
      </c>
    </row>
    <row r="77" spans="1:20" x14ac:dyDescent="0.35">
      <c r="A77" s="2" t="s">
        <v>913</v>
      </c>
      <c r="B77" s="3">
        <v>44400</v>
      </c>
      <c r="C77" s="2" t="s">
        <v>914</v>
      </c>
      <c r="D77" t="s">
        <v>6177</v>
      </c>
      <c r="E77" t="str">
        <f t="shared" si="7"/>
        <v>Robusta-Dark-1</v>
      </c>
      <c r="F77" s="2">
        <v>6</v>
      </c>
      <c r="G77" s="2" t="str" cm="1">
        <f t="array" ref="G77">_xlfn.XLOOKUP(C77, customers!$A$1:A1076,customers!$B$1:B1076,,0)</f>
        <v>Kipper Boorn</v>
      </c>
      <c r="H77" s="2" t="str" cm="1">
        <f t="array" ref="H77">IF(_xlfn.XLOOKUP(C77,customers!$A$1:A1076,customers!$C$1:C1076,,0) = 0,"", _xlfn.XLOOKUP(C77,customers!$A$1:A1076,customers!$C$1:C1076,,0))</f>
        <v>kboorn23@ezinearticles.com</v>
      </c>
      <c r="I77" s="2" t="str">
        <f>_xlfn.XLOOKUP(C77,customers!$A$1:$A$1001,customers!$G$1:$G$1001,,0)</f>
        <v>Ireland</v>
      </c>
      <c r="J77" s="2" t="str">
        <f>_xlfn.XLOOKUP(Orders[[#This Row],[Customer ID]],customers!$A$1:$A$1001,customers!$F$1:$F$1001,,0)</f>
        <v>Listowel</v>
      </c>
      <c r="K77" t="str">
        <f>INDEX(products!$A$1:$G$49,MATCH(orders!$D77,products!$A$1:$A$49,0),MATCH(orders!K$1,products!$A$1:$G$1,0))</f>
        <v>Rob</v>
      </c>
      <c r="L77" t="str">
        <f>INDEX(products!$A$1:$G$49,MATCH(orders!$D77,products!$A$1:$A$49,0),MATCH(orders!L$1,products!$A$1:$G$1,0))</f>
        <v>D</v>
      </c>
      <c r="M77" s="14">
        <f>INDEX(products!$A$1:$G$49,MATCH(orders!$D77,products!$A$1:$A$49,0),MATCH(orders!M$1,products!$A$1:$G$1,0))</f>
        <v>1</v>
      </c>
      <c r="N77" s="4">
        <f>INDEX(products!$A$1:$G$49,MATCH(orders!$D77,products!$A$1:$A$49,0),MATCH(orders!N$1,products!$A$1:$G$1,0))</f>
        <v>8.9499999999999993</v>
      </c>
      <c r="O77" s="13">
        <f t="shared" si="5"/>
        <v>53.699999999999996</v>
      </c>
      <c r="P77" s="13">
        <f>_xlfn.XLOOKUP(Orders[[#This Row],[Product ID]],products!$A$1:$A$49,products!$G$1:$G$49,,0)</f>
        <v>0.53699999999999992</v>
      </c>
      <c r="Q77" s="13">
        <f t="shared" si="6"/>
        <v>3.2219999999999995</v>
      </c>
      <c r="R77" t="str">
        <f t="shared" si="8"/>
        <v>Robusta</v>
      </c>
      <c r="S77" t="str">
        <f t="shared" si="9"/>
        <v>Dark</v>
      </c>
      <c r="T77" t="str">
        <f>_xlfn.XLOOKUP(Orders[[#This Row],[Customer ID]],customers!$A$1:$A$1001,customers!$I$1:$I$1001,,0)</f>
        <v>Yes</v>
      </c>
    </row>
    <row r="78" spans="1:20" x14ac:dyDescent="0.35">
      <c r="A78" s="2" t="s">
        <v>919</v>
      </c>
      <c r="B78" s="3">
        <v>43855</v>
      </c>
      <c r="C78" s="2" t="s">
        <v>920</v>
      </c>
      <c r="D78" t="s">
        <v>6178</v>
      </c>
      <c r="E78" t="str">
        <f t="shared" si="7"/>
        <v>Robusta-Light-0.2</v>
      </c>
      <c r="F78" s="2">
        <v>1</v>
      </c>
      <c r="G78" s="2" t="str" cm="1">
        <f t="array" ref="G78">_xlfn.XLOOKUP(C78, customers!$A$1:A1077,customers!$B$1:B1077,,0)</f>
        <v>Melania Beadle</v>
      </c>
      <c r="H78" s="2" t="str" cm="1">
        <f t="array" ref="H78">IF(_xlfn.XLOOKUP(C78,customers!$A$1:A1077,customers!$C$1:C1077,,0) = 0,"", _xlfn.XLOOKUP(C78,customers!$A$1:A1077,customers!$C$1:C1077,,0))</f>
        <v/>
      </c>
      <c r="I78" s="2" t="str">
        <f>_xlfn.XLOOKUP(C78,customers!$A$1:$A$1001,customers!$G$1:$G$1001,,0)</f>
        <v>Ireland</v>
      </c>
      <c r="J78" s="2" t="str">
        <f>_xlfn.XLOOKUP(Orders[[#This Row],[Customer ID]],customers!$A$1:$A$1001,customers!$F$1:$F$1001,,0)</f>
        <v>Moycullen</v>
      </c>
      <c r="K78" t="str">
        <f>INDEX(products!$A$1:$G$49,MATCH(orders!$D78,products!$A$1:$A$49,0),MATCH(orders!K$1,products!$A$1:$G$1,0))</f>
        <v>Rob</v>
      </c>
      <c r="L78" t="str">
        <f>INDEX(products!$A$1:$G$49,MATCH(orders!$D78,products!$A$1:$A$49,0),MATCH(orders!L$1,products!$A$1:$G$1,0))</f>
        <v>L</v>
      </c>
      <c r="M78" s="14">
        <f>INDEX(products!$A$1:$G$49,MATCH(orders!$D78,products!$A$1:$A$49,0),MATCH(orders!M$1,products!$A$1:$G$1,0))</f>
        <v>0.2</v>
      </c>
      <c r="N78" s="4">
        <f>INDEX(products!$A$1:$G$49,MATCH(orders!$D78,products!$A$1:$A$49,0),MATCH(orders!N$1,products!$A$1:$G$1,0))</f>
        <v>3.5849999999999995</v>
      </c>
      <c r="O78" s="13">
        <f t="shared" si="5"/>
        <v>3.5849999999999995</v>
      </c>
      <c r="P78" s="13">
        <f>_xlfn.XLOOKUP(Orders[[#This Row],[Product ID]],products!$A$1:$A$49,products!$G$1:$G$49,,0)</f>
        <v>0.21509999999999996</v>
      </c>
      <c r="Q78" s="13">
        <f t="shared" si="6"/>
        <v>0.21509999999999996</v>
      </c>
      <c r="R78" t="str">
        <f t="shared" si="8"/>
        <v>Robusta</v>
      </c>
      <c r="S78" t="str">
        <f t="shared" si="9"/>
        <v>Light</v>
      </c>
      <c r="T78" t="str">
        <f>_xlfn.XLOOKUP(Orders[[#This Row],[Customer ID]],customers!$A$1:$A$1001,customers!$I$1:$I$1001,,0)</f>
        <v>Yes</v>
      </c>
    </row>
    <row r="79" spans="1:20" x14ac:dyDescent="0.35">
      <c r="A79" s="2" t="s">
        <v>924</v>
      </c>
      <c r="B79" s="3">
        <v>43594</v>
      </c>
      <c r="C79" s="2" t="s">
        <v>925</v>
      </c>
      <c r="D79" t="s">
        <v>6153</v>
      </c>
      <c r="E79" t="str">
        <f t="shared" si="7"/>
        <v>Excelsa-Dark-0.2</v>
      </c>
      <c r="F79" s="2">
        <v>2</v>
      </c>
      <c r="G79" s="2" t="str" cm="1">
        <f t="array" ref="G79">_xlfn.XLOOKUP(C79, customers!$A$1:A1078,customers!$B$1:B1078,,0)</f>
        <v>Colene Elgey</v>
      </c>
      <c r="H79" s="2" t="str" cm="1">
        <f t="array" ref="H79">IF(_xlfn.XLOOKUP(C79,customers!$A$1:A1078,customers!$C$1:C1078,,0) = 0,"", _xlfn.XLOOKUP(C79,customers!$A$1:A1078,customers!$C$1:C1078,,0))</f>
        <v>celgey25@webs.com</v>
      </c>
      <c r="I79" s="2" t="str">
        <f>_xlfn.XLOOKUP(C79,customers!$A$1:$A$1001,customers!$G$1:$G$1001,,0)</f>
        <v>United States</v>
      </c>
      <c r="J79" s="2" t="str">
        <f>_xlfn.XLOOKUP(Orders[[#This Row],[Customer ID]],customers!$A$1:$A$1001,customers!$F$1:$F$1001,,0)</f>
        <v>Midland</v>
      </c>
      <c r="K79" t="str">
        <f>INDEX(products!$A$1:$G$49,MATCH(orders!$D79,products!$A$1:$A$49,0),MATCH(orders!K$1,products!$A$1:$G$1,0))</f>
        <v>Exc</v>
      </c>
      <c r="L79" t="str">
        <f>INDEX(products!$A$1:$G$49,MATCH(orders!$D79,products!$A$1:$A$49,0),MATCH(orders!L$1,products!$A$1:$G$1,0))</f>
        <v>D</v>
      </c>
      <c r="M79" s="14">
        <f>INDEX(products!$A$1:$G$49,MATCH(orders!$D79,products!$A$1:$A$49,0),MATCH(orders!M$1,products!$A$1:$G$1,0))</f>
        <v>0.2</v>
      </c>
      <c r="N79" s="4">
        <f>INDEX(products!$A$1:$G$49,MATCH(orders!$D79,products!$A$1:$A$49,0),MATCH(orders!N$1,products!$A$1:$G$1,0))</f>
        <v>3.645</v>
      </c>
      <c r="O79" s="13">
        <f t="shared" si="5"/>
        <v>7.29</v>
      </c>
      <c r="P79" s="13">
        <f>_xlfn.XLOOKUP(Orders[[#This Row],[Product ID]],products!$A$1:$A$49,products!$G$1:$G$49,,0)</f>
        <v>0.40095000000000003</v>
      </c>
      <c r="Q79" s="13">
        <f t="shared" si="6"/>
        <v>0.80190000000000006</v>
      </c>
      <c r="R79" t="str">
        <f t="shared" si="8"/>
        <v>Execelsa</v>
      </c>
      <c r="S79" t="str">
        <f t="shared" si="9"/>
        <v>Dark</v>
      </c>
      <c r="T79" t="str">
        <f>_xlfn.XLOOKUP(Orders[[#This Row],[Customer ID]],customers!$A$1:$A$1001,customers!$I$1:$I$1001,,0)</f>
        <v>No</v>
      </c>
    </row>
    <row r="80" spans="1:20" x14ac:dyDescent="0.35">
      <c r="A80" s="2" t="s">
        <v>930</v>
      </c>
      <c r="B80" s="3">
        <v>43920</v>
      </c>
      <c r="C80" s="2" t="s">
        <v>931</v>
      </c>
      <c r="D80" t="s">
        <v>6157</v>
      </c>
      <c r="E80" t="str">
        <f t="shared" si="7"/>
        <v>Arabica-Medium-0.5</v>
      </c>
      <c r="F80" s="2">
        <v>6</v>
      </c>
      <c r="G80" s="2" t="str" cm="1">
        <f t="array" ref="G80">_xlfn.XLOOKUP(C80, customers!$A$1:A1079,customers!$B$1:B1079,,0)</f>
        <v>Lothaire Mizzi</v>
      </c>
      <c r="H80" s="2" t="str" cm="1">
        <f t="array" ref="H80">IF(_xlfn.XLOOKUP(C80,customers!$A$1:A1079,customers!$C$1:C1079,,0) = 0,"", _xlfn.XLOOKUP(C80,customers!$A$1:A1079,customers!$C$1:C1079,,0))</f>
        <v>lmizzi26@rakuten.co.jp</v>
      </c>
      <c r="I80" s="2" t="str">
        <f>_xlfn.XLOOKUP(C80,customers!$A$1:$A$1001,customers!$G$1:$G$1001,,0)</f>
        <v>United States</v>
      </c>
      <c r="J80" s="2" t="str">
        <f>_xlfn.XLOOKUP(Orders[[#This Row],[Customer ID]],customers!$A$1:$A$1001,customers!$F$1:$F$1001,,0)</f>
        <v>Dallas</v>
      </c>
      <c r="K80" t="str">
        <f>INDEX(products!$A$1:$G$49,MATCH(orders!$D80,products!$A$1:$A$49,0),MATCH(orders!K$1,products!$A$1:$G$1,0))</f>
        <v>Ara</v>
      </c>
      <c r="L80" t="str">
        <f>INDEX(products!$A$1:$G$49,MATCH(orders!$D80,products!$A$1:$A$49,0),MATCH(orders!L$1,products!$A$1:$G$1,0))</f>
        <v>M</v>
      </c>
      <c r="M80" s="14">
        <f>INDEX(products!$A$1:$G$49,MATCH(orders!$D80,products!$A$1:$A$49,0),MATCH(orders!M$1,products!$A$1:$G$1,0))</f>
        <v>0.5</v>
      </c>
      <c r="N80" s="4">
        <f>INDEX(products!$A$1:$G$49,MATCH(orders!$D80,products!$A$1:$A$49,0),MATCH(orders!N$1,products!$A$1:$G$1,0))</f>
        <v>6.75</v>
      </c>
      <c r="O80" s="13">
        <f t="shared" si="5"/>
        <v>40.5</v>
      </c>
      <c r="P80" s="13">
        <f>_xlfn.XLOOKUP(Orders[[#This Row],[Product ID]],products!$A$1:$A$49,products!$G$1:$G$49,,0)</f>
        <v>0.60749999999999993</v>
      </c>
      <c r="Q80" s="13">
        <f t="shared" si="6"/>
        <v>3.6449999999999996</v>
      </c>
      <c r="R80" t="str">
        <f t="shared" si="8"/>
        <v>Arabica</v>
      </c>
      <c r="S80" t="str">
        <f t="shared" si="9"/>
        <v>Medium</v>
      </c>
      <c r="T80" t="str">
        <f>_xlfn.XLOOKUP(Orders[[#This Row],[Customer ID]],customers!$A$1:$A$1001,customers!$I$1:$I$1001,,0)</f>
        <v>Yes</v>
      </c>
    </row>
    <row r="81" spans="1:20" x14ac:dyDescent="0.35">
      <c r="A81" s="2" t="s">
        <v>936</v>
      </c>
      <c r="B81" s="3">
        <v>44633</v>
      </c>
      <c r="C81" s="2" t="s">
        <v>937</v>
      </c>
      <c r="D81" t="s">
        <v>6179</v>
      </c>
      <c r="E81" t="str">
        <f t="shared" si="7"/>
        <v>Robusta-Light-1</v>
      </c>
      <c r="F81" s="2">
        <v>4</v>
      </c>
      <c r="G81" s="2" t="str" cm="1">
        <f t="array" ref="G81">_xlfn.XLOOKUP(C81, customers!$A$1:A1080,customers!$B$1:B1080,,0)</f>
        <v>Cletis Giacomazzo</v>
      </c>
      <c r="H81" s="2" t="str" cm="1">
        <f t="array" ref="H81">IF(_xlfn.XLOOKUP(C81,customers!$A$1:A1080,customers!$C$1:C1080,,0) = 0,"", _xlfn.XLOOKUP(C81,customers!$A$1:A1080,customers!$C$1:C1080,,0))</f>
        <v>cgiacomazzo27@jigsy.com</v>
      </c>
      <c r="I81" s="2" t="str">
        <f>_xlfn.XLOOKUP(C81,customers!$A$1:$A$1001,customers!$G$1:$G$1001,,0)</f>
        <v>United States</v>
      </c>
      <c r="J81" s="2" t="str">
        <f>_xlfn.XLOOKUP(Orders[[#This Row],[Customer ID]],customers!$A$1:$A$1001,customers!$F$1:$F$1001,,0)</f>
        <v>Dulles</v>
      </c>
      <c r="K81" t="str">
        <f>INDEX(products!$A$1:$G$49,MATCH(orders!$D81,products!$A$1:$A$49,0),MATCH(orders!K$1,products!$A$1:$G$1,0))</f>
        <v>Rob</v>
      </c>
      <c r="L81" t="str">
        <f>INDEX(products!$A$1:$G$49,MATCH(orders!$D81,products!$A$1:$A$49,0),MATCH(orders!L$1,products!$A$1:$G$1,0))</f>
        <v>L</v>
      </c>
      <c r="M81" s="14">
        <f>INDEX(products!$A$1:$G$49,MATCH(orders!$D81,products!$A$1:$A$49,0),MATCH(orders!M$1,products!$A$1:$G$1,0))</f>
        <v>1</v>
      </c>
      <c r="N81" s="4">
        <f>INDEX(products!$A$1:$G$49,MATCH(orders!$D81,products!$A$1:$A$49,0),MATCH(orders!N$1,products!$A$1:$G$1,0))</f>
        <v>11.95</v>
      </c>
      <c r="O81" s="13">
        <f t="shared" si="5"/>
        <v>47.8</v>
      </c>
      <c r="P81" s="13">
        <f>_xlfn.XLOOKUP(Orders[[#This Row],[Product ID]],products!$A$1:$A$49,products!$G$1:$G$49,,0)</f>
        <v>0.71699999999999997</v>
      </c>
      <c r="Q81" s="13">
        <f t="shared" si="6"/>
        <v>2.8679999999999999</v>
      </c>
      <c r="R81" t="str">
        <f t="shared" si="8"/>
        <v>Robusta</v>
      </c>
      <c r="S81" t="str">
        <f t="shared" si="9"/>
        <v>Light</v>
      </c>
      <c r="T81" t="str">
        <f>_xlfn.XLOOKUP(Orders[[#This Row],[Customer ID]],customers!$A$1:$A$1001,customers!$I$1:$I$1001,,0)</f>
        <v>No</v>
      </c>
    </row>
    <row r="82" spans="1:20" x14ac:dyDescent="0.35">
      <c r="A82" s="2" t="s">
        <v>942</v>
      </c>
      <c r="B82" s="3">
        <v>43572</v>
      </c>
      <c r="C82" s="2" t="s">
        <v>943</v>
      </c>
      <c r="D82" t="s">
        <v>6180</v>
      </c>
      <c r="E82" t="str">
        <f t="shared" si="7"/>
        <v>Arabica-Light-0.5</v>
      </c>
      <c r="F82" s="2">
        <v>5</v>
      </c>
      <c r="G82" s="2" t="str" cm="1">
        <f t="array" ref="G82">_xlfn.XLOOKUP(C82, customers!$A$1:A1081,customers!$B$1:B1081,,0)</f>
        <v>Ami Arnow</v>
      </c>
      <c r="H82" s="2" t="str" cm="1">
        <f t="array" ref="H82">IF(_xlfn.XLOOKUP(C82,customers!$A$1:A1081,customers!$C$1:C1081,,0) = 0,"", _xlfn.XLOOKUP(C82,customers!$A$1:A1081,customers!$C$1:C1081,,0))</f>
        <v>aarnow28@arizona.edu</v>
      </c>
      <c r="I82" s="2" t="str">
        <f>_xlfn.XLOOKUP(C82,customers!$A$1:$A$1001,customers!$G$1:$G$1001,,0)</f>
        <v>United States</v>
      </c>
      <c r="J82" s="2" t="str">
        <f>_xlfn.XLOOKUP(Orders[[#This Row],[Customer ID]],customers!$A$1:$A$1001,customers!$F$1:$F$1001,,0)</f>
        <v>Oakland</v>
      </c>
      <c r="K82" t="str">
        <f>INDEX(products!$A$1:$G$49,MATCH(orders!$D82,products!$A$1:$A$49,0),MATCH(orders!K$1,products!$A$1:$G$1,0))</f>
        <v>Ara</v>
      </c>
      <c r="L82" t="str">
        <f>INDEX(products!$A$1:$G$49,MATCH(orders!$D82,products!$A$1:$A$49,0),MATCH(orders!L$1,products!$A$1:$G$1,0))</f>
        <v>L</v>
      </c>
      <c r="M82" s="14">
        <f>INDEX(products!$A$1:$G$49,MATCH(orders!$D82,products!$A$1:$A$49,0),MATCH(orders!M$1,products!$A$1:$G$1,0))</f>
        <v>0.5</v>
      </c>
      <c r="N82" s="4">
        <f>INDEX(products!$A$1:$G$49,MATCH(orders!$D82,products!$A$1:$A$49,0),MATCH(orders!N$1,products!$A$1:$G$1,0))</f>
        <v>7.77</v>
      </c>
      <c r="O82" s="13">
        <f t="shared" si="5"/>
        <v>38.849999999999994</v>
      </c>
      <c r="P82" s="13">
        <f>_xlfn.XLOOKUP(Orders[[#This Row],[Product ID]],products!$A$1:$A$49,products!$G$1:$G$49,,0)</f>
        <v>0.69929999999999992</v>
      </c>
      <c r="Q82" s="13">
        <f t="shared" si="6"/>
        <v>3.4964999999999997</v>
      </c>
      <c r="R82" t="str">
        <f t="shared" si="8"/>
        <v>Arabica</v>
      </c>
      <c r="S82" t="str">
        <f t="shared" si="9"/>
        <v>Light</v>
      </c>
      <c r="T82" t="str">
        <f>_xlfn.XLOOKUP(Orders[[#This Row],[Customer ID]],customers!$A$1:$A$1001,customers!$I$1:$I$1001,,0)</f>
        <v>Yes</v>
      </c>
    </row>
    <row r="83" spans="1:20" x14ac:dyDescent="0.35">
      <c r="A83" s="2" t="s">
        <v>948</v>
      </c>
      <c r="B83" s="3">
        <v>43763</v>
      </c>
      <c r="C83" s="2" t="s">
        <v>949</v>
      </c>
      <c r="D83" t="s">
        <v>6164</v>
      </c>
      <c r="E83" t="str">
        <f t="shared" si="7"/>
        <v>Liberica-Light-2.5</v>
      </c>
      <c r="F83" s="2">
        <v>3</v>
      </c>
      <c r="G83" s="2" t="str" cm="1">
        <f t="array" ref="G83">_xlfn.XLOOKUP(C83, customers!$A$1:A1082,customers!$B$1:B1082,,0)</f>
        <v>Sheppard Yann</v>
      </c>
      <c r="H83" s="2" t="str" cm="1">
        <f t="array" ref="H83">IF(_xlfn.XLOOKUP(C83,customers!$A$1:A1082,customers!$C$1:C1082,,0) = 0,"", _xlfn.XLOOKUP(C83,customers!$A$1:A1082,customers!$C$1:C1082,,0))</f>
        <v>syann29@senate.gov</v>
      </c>
      <c r="I83" s="2" t="str">
        <f>_xlfn.XLOOKUP(C83,customers!$A$1:$A$1001,customers!$G$1:$G$1001,,0)</f>
        <v>United States</v>
      </c>
      <c r="J83" s="2" t="str">
        <f>_xlfn.XLOOKUP(Orders[[#This Row],[Customer ID]],customers!$A$1:$A$1001,customers!$F$1:$F$1001,,0)</f>
        <v>Colorado Springs</v>
      </c>
      <c r="K83" t="str">
        <f>INDEX(products!$A$1:$G$49,MATCH(orders!$D83,products!$A$1:$A$49,0),MATCH(orders!K$1,products!$A$1:$G$1,0))</f>
        <v>Lib</v>
      </c>
      <c r="L83" t="str">
        <f>INDEX(products!$A$1:$G$49,MATCH(orders!$D83,products!$A$1:$A$49,0),MATCH(orders!L$1,products!$A$1:$G$1,0))</f>
        <v>L</v>
      </c>
      <c r="M83" s="14">
        <f>INDEX(products!$A$1:$G$49,MATCH(orders!$D83,products!$A$1:$A$49,0),MATCH(orders!M$1,products!$A$1:$G$1,0))</f>
        <v>2.5</v>
      </c>
      <c r="N83" s="4">
        <f>INDEX(products!$A$1:$G$49,MATCH(orders!$D83,products!$A$1:$A$49,0),MATCH(orders!N$1,products!$A$1:$G$1,0))</f>
        <v>36.454999999999998</v>
      </c>
      <c r="O83" s="13">
        <f t="shared" si="5"/>
        <v>109.36499999999999</v>
      </c>
      <c r="P83" s="13">
        <f>_xlfn.XLOOKUP(Orders[[#This Row],[Product ID]],products!$A$1:$A$49,products!$G$1:$G$49,,0)</f>
        <v>4.7391499999999995</v>
      </c>
      <c r="Q83" s="13">
        <f t="shared" si="6"/>
        <v>14.217449999999999</v>
      </c>
      <c r="R83" t="str">
        <f t="shared" si="8"/>
        <v>Liberica</v>
      </c>
      <c r="S83" t="str">
        <f t="shared" si="9"/>
        <v>Light</v>
      </c>
      <c r="T83" t="str">
        <f>_xlfn.XLOOKUP(Orders[[#This Row],[Customer ID]],customers!$A$1:$A$1001,customers!$I$1:$I$1001,,0)</f>
        <v>Yes</v>
      </c>
    </row>
    <row r="84" spans="1:20" x14ac:dyDescent="0.35">
      <c r="A84" s="2" t="s">
        <v>954</v>
      </c>
      <c r="B84" s="3">
        <v>43721</v>
      </c>
      <c r="C84" s="2" t="s">
        <v>955</v>
      </c>
      <c r="D84" t="s">
        <v>6181</v>
      </c>
      <c r="E84" t="str">
        <f t="shared" si="7"/>
        <v>Liberica-Medium-2.5</v>
      </c>
      <c r="F84" s="2">
        <v>3</v>
      </c>
      <c r="G84" s="2" t="str" cm="1">
        <f t="array" ref="G84">_xlfn.XLOOKUP(C84, customers!$A$1:A1083,customers!$B$1:B1083,,0)</f>
        <v>Bunny Naulls</v>
      </c>
      <c r="H84" s="2" t="str" cm="1">
        <f t="array" ref="H84">IF(_xlfn.XLOOKUP(C84,customers!$A$1:A1083,customers!$C$1:C1083,,0) = 0,"", _xlfn.XLOOKUP(C84,customers!$A$1:A1083,customers!$C$1:C1083,,0))</f>
        <v>bnaulls2a@tiny.cc</v>
      </c>
      <c r="I84" s="2" t="str">
        <f>_xlfn.XLOOKUP(C84,customers!$A$1:$A$1001,customers!$G$1:$G$1001,,0)</f>
        <v>Ireland</v>
      </c>
      <c r="J84" s="2" t="str">
        <f>_xlfn.XLOOKUP(Orders[[#This Row],[Customer ID]],customers!$A$1:$A$1001,customers!$F$1:$F$1001,,0)</f>
        <v>Adare</v>
      </c>
      <c r="K84" t="str">
        <f>INDEX(products!$A$1:$G$49,MATCH(orders!$D84,products!$A$1:$A$49,0),MATCH(orders!K$1,products!$A$1:$G$1,0))</f>
        <v>Lib</v>
      </c>
      <c r="L84" t="str">
        <f>INDEX(products!$A$1:$G$49,MATCH(orders!$D84,products!$A$1:$A$49,0),MATCH(orders!L$1,products!$A$1:$G$1,0))</f>
        <v>M</v>
      </c>
      <c r="M84" s="14">
        <f>INDEX(products!$A$1:$G$49,MATCH(orders!$D84,products!$A$1:$A$49,0),MATCH(orders!M$1,products!$A$1:$G$1,0))</f>
        <v>2.5</v>
      </c>
      <c r="N84" s="4">
        <f>INDEX(products!$A$1:$G$49,MATCH(orders!$D84,products!$A$1:$A$49,0),MATCH(orders!N$1,products!$A$1:$G$1,0))</f>
        <v>33.464999999999996</v>
      </c>
      <c r="O84" s="13">
        <f t="shared" si="5"/>
        <v>100.39499999999998</v>
      </c>
      <c r="P84" s="13">
        <f>_xlfn.XLOOKUP(Orders[[#This Row],[Product ID]],products!$A$1:$A$49,products!$G$1:$G$49,,0)</f>
        <v>4.3504499999999995</v>
      </c>
      <c r="Q84" s="13">
        <f t="shared" si="6"/>
        <v>13.051349999999999</v>
      </c>
      <c r="R84" t="str">
        <f t="shared" si="8"/>
        <v>Liberica</v>
      </c>
      <c r="S84" t="str">
        <f t="shared" si="9"/>
        <v>Medium</v>
      </c>
      <c r="T84" t="str">
        <f>_xlfn.XLOOKUP(Orders[[#This Row],[Customer ID]],customers!$A$1:$A$1001,customers!$I$1:$I$1001,,0)</f>
        <v>Yes</v>
      </c>
    </row>
    <row r="85" spans="1:20" x14ac:dyDescent="0.35">
      <c r="A85" s="2" t="s">
        <v>960</v>
      </c>
      <c r="B85" s="3">
        <v>43933</v>
      </c>
      <c r="C85" s="2" t="s">
        <v>961</v>
      </c>
      <c r="D85" t="s">
        <v>6149</v>
      </c>
      <c r="E85" t="str">
        <f t="shared" si="7"/>
        <v>Robusta-Dark-2.5</v>
      </c>
      <c r="F85" s="2">
        <v>4</v>
      </c>
      <c r="G85" s="2" t="str" cm="1">
        <f t="array" ref="G85">_xlfn.XLOOKUP(C85, customers!$A$1:A1084,customers!$B$1:B1084,,0)</f>
        <v>Hally Lorait</v>
      </c>
      <c r="H85" s="2" t="str" cm="1">
        <f t="array" ref="H85">IF(_xlfn.XLOOKUP(C85,customers!$A$1:A1084,customers!$C$1:C1084,,0) = 0,"", _xlfn.XLOOKUP(C85,customers!$A$1:A1084,customers!$C$1:C1084,,0))</f>
        <v/>
      </c>
      <c r="I85" s="2" t="str">
        <f>_xlfn.XLOOKUP(C85,customers!$A$1:$A$1001,customers!$G$1:$G$1001,,0)</f>
        <v>United States</v>
      </c>
      <c r="J85" s="2" t="str">
        <f>_xlfn.XLOOKUP(Orders[[#This Row],[Customer ID]],customers!$A$1:$A$1001,customers!$F$1:$F$1001,,0)</f>
        <v>Buffalo</v>
      </c>
      <c r="K85" t="str">
        <f>INDEX(products!$A$1:$G$49,MATCH(orders!$D85,products!$A$1:$A$49,0),MATCH(orders!K$1,products!$A$1:$G$1,0))</f>
        <v>Rob</v>
      </c>
      <c r="L85" t="str">
        <f>INDEX(products!$A$1:$G$49,MATCH(orders!$D85,products!$A$1:$A$49,0),MATCH(orders!L$1,products!$A$1:$G$1,0))</f>
        <v>D</v>
      </c>
      <c r="M85" s="14">
        <f>INDEX(products!$A$1:$G$49,MATCH(orders!$D85,products!$A$1:$A$49,0),MATCH(orders!M$1,products!$A$1:$G$1,0))</f>
        <v>2.5</v>
      </c>
      <c r="N85" s="4">
        <f>INDEX(products!$A$1:$G$49,MATCH(orders!$D85,products!$A$1:$A$49,0),MATCH(orders!N$1,products!$A$1:$G$1,0))</f>
        <v>20.584999999999997</v>
      </c>
      <c r="O85" s="13">
        <f t="shared" si="5"/>
        <v>82.339999999999989</v>
      </c>
      <c r="P85" s="13">
        <f>_xlfn.XLOOKUP(Orders[[#This Row],[Product ID]],products!$A$1:$A$49,products!$G$1:$G$49,,0)</f>
        <v>1.2350999999999999</v>
      </c>
      <c r="Q85" s="13">
        <f t="shared" si="6"/>
        <v>4.9403999999999995</v>
      </c>
      <c r="R85" t="str">
        <f t="shared" si="8"/>
        <v>Robusta</v>
      </c>
      <c r="S85" t="str">
        <f t="shared" si="9"/>
        <v>Dark</v>
      </c>
      <c r="T85" t="str">
        <f>_xlfn.XLOOKUP(Orders[[#This Row],[Customer ID]],customers!$A$1:$A$1001,customers!$I$1:$I$1001,,0)</f>
        <v>Yes</v>
      </c>
    </row>
    <row r="86" spans="1:20" x14ac:dyDescent="0.35">
      <c r="A86" s="2" t="s">
        <v>965</v>
      </c>
      <c r="B86" s="3">
        <v>43783</v>
      </c>
      <c r="C86" s="2" t="s">
        <v>966</v>
      </c>
      <c r="D86" t="s">
        <v>6161</v>
      </c>
      <c r="E86" t="str">
        <f t="shared" si="7"/>
        <v>Liberica-Light-0.5</v>
      </c>
      <c r="F86" s="2">
        <v>1</v>
      </c>
      <c r="G86" s="2" t="str" cm="1">
        <f t="array" ref="G86">_xlfn.XLOOKUP(C86, customers!$A$1:A1085,customers!$B$1:B1085,,0)</f>
        <v>Zaccaria Sherewood</v>
      </c>
      <c r="H86" s="2" t="str" cm="1">
        <f t="array" ref="H86">IF(_xlfn.XLOOKUP(C86,customers!$A$1:A1085,customers!$C$1:C1085,,0) = 0,"", _xlfn.XLOOKUP(C86,customers!$A$1:A1085,customers!$C$1:C1085,,0))</f>
        <v>zsherewood2c@apache.org</v>
      </c>
      <c r="I86" s="2" t="str">
        <f>_xlfn.XLOOKUP(C86,customers!$A$1:$A$1001,customers!$G$1:$G$1001,,0)</f>
        <v>United States</v>
      </c>
      <c r="J86" s="2" t="str">
        <f>_xlfn.XLOOKUP(Orders[[#This Row],[Customer ID]],customers!$A$1:$A$1001,customers!$F$1:$F$1001,,0)</f>
        <v>Fresno</v>
      </c>
      <c r="K86" t="str">
        <f>INDEX(products!$A$1:$G$49,MATCH(orders!$D86,products!$A$1:$A$49,0),MATCH(orders!K$1,products!$A$1:$G$1,0))</f>
        <v>Lib</v>
      </c>
      <c r="L86" t="str">
        <f>INDEX(products!$A$1:$G$49,MATCH(orders!$D86,products!$A$1:$A$49,0),MATCH(orders!L$1,products!$A$1:$G$1,0))</f>
        <v>L</v>
      </c>
      <c r="M86" s="14">
        <f>INDEX(products!$A$1:$G$49,MATCH(orders!$D86,products!$A$1:$A$49,0),MATCH(orders!M$1,products!$A$1:$G$1,0))</f>
        <v>0.5</v>
      </c>
      <c r="N86" s="4">
        <f>INDEX(products!$A$1:$G$49,MATCH(orders!$D86,products!$A$1:$A$49,0),MATCH(orders!N$1,products!$A$1:$G$1,0))</f>
        <v>9.51</v>
      </c>
      <c r="O86" s="13">
        <f t="shared" si="5"/>
        <v>9.51</v>
      </c>
      <c r="P86" s="13">
        <f>_xlfn.XLOOKUP(Orders[[#This Row],[Product ID]],products!$A$1:$A$49,products!$G$1:$G$49,,0)</f>
        <v>1.2363</v>
      </c>
      <c r="Q86" s="13">
        <f t="shared" si="6"/>
        <v>1.2363</v>
      </c>
      <c r="R86" t="str">
        <f t="shared" si="8"/>
        <v>Liberica</v>
      </c>
      <c r="S86" t="str">
        <f t="shared" si="9"/>
        <v>Light</v>
      </c>
      <c r="T86" t="str">
        <f>_xlfn.XLOOKUP(Orders[[#This Row],[Customer ID]],customers!$A$1:$A$1001,customers!$I$1:$I$1001,,0)</f>
        <v>No</v>
      </c>
    </row>
    <row r="87" spans="1:20" x14ac:dyDescent="0.35">
      <c r="A87" s="2" t="s">
        <v>971</v>
      </c>
      <c r="B87" s="3">
        <v>43664</v>
      </c>
      <c r="C87" s="2" t="s">
        <v>972</v>
      </c>
      <c r="D87" t="s">
        <v>6182</v>
      </c>
      <c r="E87" t="str">
        <f t="shared" si="7"/>
        <v>Arabica-Light-2.5</v>
      </c>
      <c r="F87" s="2">
        <v>3</v>
      </c>
      <c r="G87" s="2" t="str" cm="1">
        <f t="array" ref="G87">_xlfn.XLOOKUP(C87, customers!$A$1:A1086,customers!$B$1:B1086,,0)</f>
        <v>Jeffrey Dufaire</v>
      </c>
      <c r="H87" s="2" t="str" cm="1">
        <f t="array" ref="H87">IF(_xlfn.XLOOKUP(C87,customers!$A$1:A1086,customers!$C$1:C1086,,0) = 0,"", _xlfn.XLOOKUP(C87,customers!$A$1:A1086,customers!$C$1:C1086,,0))</f>
        <v>jdufaire2d@fc2.com</v>
      </c>
      <c r="I87" s="2" t="str">
        <f>_xlfn.XLOOKUP(C87,customers!$A$1:$A$1001,customers!$G$1:$G$1001,,0)</f>
        <v>United States</v>
      </c>
      <c r="J87" s="2" t="str">
        <f>_xlfn.XLOOKUP(Orders[[#This Row],[Customer ID]],customers!$A$1:$A$1001,customers!$F$1:$F$1001,,0)</f>
        <v>Fort Worth</v>
      </c>
      <c r="K87" t="str">
        <f>INDEX(products!$A$1:$G$49,MATCH(orders!$D87,products!$A$1:$A$49,0),MATCH(orders!K$1,products!$A$1:$G$1,0))</f>
        <v>Ara</v>
      </c>
      <c r="L87" t="str">
        <f>INDEX(products!$A$1:$G$49,MATCH(orders!$D87,products!$A$1:$A$49,0),MATCH(orders!L$1,products!$A$1:$G$1,0))</f>
        <v>L</v>
      </c>
      <c r="M87" s="14">
        <f>INDEX(products!$A$1:$G$49,MATCH(orders!$D87,products!$A$1:$A$49,0),MATCH(orders!M$1,products!$A$1:$G$1,0))</f>
        <v>2.5</v>
      </c>
      <c r="N87" s="4">
        <f>INDEX(products!$A$1:$G$49,MATCH(orders!$D87,products!$A$1:$A$49,0),MATCH(orders!N$1,products!$A$1:$G$1,0))</f>
        <v>29.784999999999997</v>
      </c>
      <c r="O87" s="13">
        <f t="shared" si="5"/>
        <v>89.35499999999999</v>
      </c>
      <c r="P87" s="13">
        <f>_xlfn.XLOOKUP(Orders[[#This Row],[Product ID]],products!$A$1:$A$49,products!$G$1:$G$49,,0)</f>
        <v>2.6806499999999995</v>
      </c>
      <c r="Q87" s="13">
        <f t="shared" si="6"/>
        <v>8.0419499999999982</v>
      </c>
      <c r="R87" t="str">
        <f t="shared" si="8"/>
        <v>Arabica</v>
      </c>
      <c r="S87" t="str">
        <f t="shared" si="9"/>
        <v>Light</v>
      </c>
      <c r="T87" t="str">
        <f>_xlfn.XLOOKUP(Orders[[#This Row],[Customer ID]],customers!$A$1:$A$1001,customers!$I$1:$I$1001,,0)</f>
        <v>No</v>
      </c>
    </row>
    <row r="88" spans="1:20" x14ac:dyDescent="0.35">
      <c r="A88" s="2" t="s">
        <v>971</v>
      </c>
      <c r="B88" s="3">
        <v>43664</v>
      </c>
      <c r="C88" s="2" t="s">
        <v>972</v>
      </c>
      <c r="D88" t="s">
        <v>6154</v>
      </c>
      <c r="E88" t="str">
        <f t="shared" si="7"/>
        <v>Arabica-Dark-0.2</v>
      </c>
      <c r="F88" s="2">
        <v>4</v>
      </c>
      <c r="G88" s="2" t="str" cm="1">
        <f t="array" ref="G88">_xlfn.XLOOKUP(C88, customers!$A$1:A1087,customers!$B$1:B1087,,0)</f>
        <v>Jeffrey Dufaire</v>
      </c>
      <c r="H88" s="2" t="str" cm="1">
        <f t="array" ref="H88">IF(_xlfn.XLOOKUP(C88,customers!$A$1:A1087,customers!$C$1:C1087,,0) = 0,"", _xlfn.XLOOKUP(C88,customers!$A$1:A1087,customers!$C$1:C1087,,0))</f>
        <v>jdufaire2d@fc2.com</v>
      </c>
      <c r="I88" s="2" t="str">
        <f>_xlfn.XLOOKUP(C88,customers!$A$1:$A$1001,customers!$G$1:$G$1001,,0)</f>
        <v>United States</v>
      </c>
      <c r="J88" s="2" t="str">
        <f>_xlfn.XLOOKUP(Orders[[#This Row],[Customer ID]],customers!$A$1:$A$1001,customers!$F$1:$F$1001,,0)</f>
        <v>Fort Worth</v>
      </c>
      <c r="K88" t="str">
        <f>INDEX(products!$A$1:$G$49,MATCH(orders!$D88,products!$A$1:$A$49,0),MATCH(orders!K$1,products!$A$1:$G$1,0))</f>
        <v>Ara</v>
      </c>
      <c r="L88" t="str">
        <f>INDEX(products!$A$1:$G$49,MATCH(orders!$D88,products!$A$1:$A$49,0),MATCH(orders!L$1,products!$A$1:$G$1,0))</f>
        <v>D</v>
      </c>
      <c r="M88" s="14">
        <f>INDEX(products!$A$1:$G$49,MATCH(orders!$D88,products!$A$1:$A$49,0),MATCH(orders!M$1,products!$A$1:$G$1,0))</f>
        <v>0.2</v>
      </c>
      <c r="N88" s="4">
        <f>INDEX(products!$A$1:$G$49,MATCH(orders!$D88,products!$A$1:$A$49,0),MATCH(orders!N$1,products!$A$1:$G$1,0))</f>
        <v>2.9849999999999999</v>
      </c>
      <c r="O88" s="13">
        <f t="shared" si="5"/>
        <v>11.94</v>
      </c>
      <c r="P88" s="13">
        <f>_xlfn.XLOOKUP(Orders[[#This Row],[Product ID]],products!$A$1:$A$49,products!$G$1:$G$49,,0)</f>
        <v>0.26865</v>
      </c>
      <c r="Q88" s="13">
        <f t="shared" si="6"/>
        <v>1.0746</v>
      </c>
      <c r="R88" t="str">
        <f t="shared" si="8"/>
        <v>Arabica</v>
      </c>
      <c r="S88" t="str">
        <f t="shared" si="9"/>
        <v>Dark</v>
      </c>
      <c r="T88" t="str">
        <f>_xlfn.XLOOKUP(Orders[[#This Row],[Customer ID]],customers!$A$1:$A$1001,customers!$I$1:$I$1001,,0)</f>
        <v>No</v>
      </c>
    </row>
    <row r="89" spans="1:20" x14ac:dyDescent="0.35">
      <c r="A89" s="2" t="s">
        <v>980</v>
      </c>
      <c r="B89" s="3">
        <v>44289</v>
      </c>
      <c r="C89" s="2" t="s">
        <v>981</v>
      </c>
      <c r="D89" t="s">
        <v>6155</v>
      </c>
      <c r="E89" t="str">
        <f t="shared" si="7"/>
        <v>Arabica-Medium-1</v>
      </c>
      <c r="F89" s="2">
        <v>3</v>
      </c>
      <c r="G89" s="2" t="str" cm="1">
        <f t="array" ref="G89">_xlfn.XLOOKUP(C89, customers!$A$1:A1088,customers!$B$1:B1088,,0)</f>
        <v>Beitris Keaveney</v>
      </c>
      <c r="H89" s="2" t="str" cm="1">
        <f t="array" ref="H89">IF(_xlfn.XLOOKUP(C89,customers!$A$1:A1088,customers!$C$1:C1088,,0) = 0,"", _xlfn.XLOOKUP(C89,customers!$A$1:A1088,customers!$C$1:C1088,,0))</f>
        <v>bkeaveney2f@netlog.com</v>
      </c>
      <c r="I89" s="2" t="str">
        <f>_xlfn.XLOOKUP(C89,customers!$A$1:$A$1001,customers!$G$1:$G$1001,,0)</f>
        <v>United States</v>
      </c>
      <c r="J89" s="2" t="str">
        <f>_xlfn.XLOOKUP(Orders[[#This Row],[Customer ID]],customers!$A$1:$A$1001,customers!$F$1:$F$1001,,0)</f>
        <v>Beaumont</v>
      </c>
      <c r="K89" t="str">
        <f>INDEX(products!$A$1:$G$49,MATCH(orders!$D89,products!$A$1:$A$49,0),MATCH(orders!K$1,products!$A$1:$G$1,0))</f>
        <v>Ara</v>
      </c>
      <c r="L89" t="str">
        <f>INDEX(products!$A$1:$G$49,MATCH(orders!$D89,products!$A$1:$A$49,0),MATCH(orders!L$1,products!$A$1:$G$1,0))</f>
        <v>M</v>
      </c>
      <c r="M89" s="14">
        <f>INDEX(products!$A$1:$G$49,MATCH(orders!$D89,products!$A$1:$A$49,0),MATCH(orders!M$1,products!$A$1:$G$1,0))</f>
        <v>1</v>
      </c>
      <c r="N89" s="4">
        <f>INDEX(products!$A$1:$G$49,MATCH(orders!$D89,products!$A$1:$A$49,0),MATCH(orders!N$1,products!$A$1:$G$1,0))</f>
        <v>11.25</v>
      </c>
      <c r="O89" s="13">
        <f t="shared" si="5"/>
        <v>33.75</v>
      </c>
      <c r="P89" s="13">
        <f>_xlfn.XLOOKUP(Orders[[#This Row],[Product ID]],products!$A$1:$A$49,products!$G$1:$G$49,,0)</f>
        <v>1.0125</v>
      </c>
      <c r="Q89" s="13">
        <f t="shared" si="6"/>
        <v>3.0374999999999996</v>
      </c>
      <c r="R89" t="str">
        <f t="shared" si="8"/>
        <v>Arabica</v>
      </c>
      <c r="S89" t="str">
        <f t="shared" si="9"/>
        <v>Medium</v>
      </c>
      <c r="T89" t="str">
        <f>_xlfn.XLOOKUP(Orders[[#This Row],[Customer ID]],customers!$A$1:$A$1001,customers!$I$1:$I$1001,,0)</f>
        <v>No</v>
      </c>
    </row>
    <row r="90" spans="1:20" x14ac:dyDescent="0.35">
      <c r="A90" s="2" t="s">
        <v>985</v>
      </c>
      <c r="B90" s="3">
        <v>44284</v>
      </c>
      <c r="C90" s="2" t="s">
        <v>986</v>
      </c>
      <c r="D90" t="s">
        <v>6179</v>
      </c>
      <c r="E90" t="str">
        <f t="shared" si="7"/>
        <v>Robusta-Light-1</v>
      </c>
      <c r="F90" s="2">
        <v>3</v>
      </c>
      <c r="G90" s="2" t="str" cm="1">
        <f t="array" ref="G90">_xlfn.XLOOKUP(C90, customers!$A$1:A1089,customers!$B$1:B1089,,0)</f>
        <v>Elna Grise</v>
      </c>
      <c r="H90" s="2" t="str" cm="1">
        <f t="array" ref="H90">IF(_xlfn.XLOOKUP(C90,customers!$A$1:A1089,customers!$C$1:C1089,,0) = 0,"", _xlfn.XLOOKUP(C90,customers!$A$1:A1089,customers!$C$1:C1089,,0))</f>
        <v>egrise2g@cargocollective.com</v>
      </c>
      <c r="I90" s="2" t="str">
        <f>_xlfn.XLOOKUP(C90,customers!$A$1:$A$1001,customers!$G$1:$G$1001,,0)</f>
        <v>United States</v>
      </c>
      <c r="J90" s="2" t="str">
        <f>_xlfn.XLOOKUP(Orders[[#This Row],[Customer ID]],customers!$A$1:$A$1001,customers!$F$1:$F$1001,,0)</f>
        <v>Reno</v>
      </c>
      <c r="K90" t="str">
        <f>INDEX(products!$A$1:$G$49,MATCH(orders!$D90,products!$A$1:$A$49,0),MATCH(orders!K$1,products!$A$1:$G$1,0))</f>
        <v>Rob</v>
      </c>
      <c r="L90" t="str">
        <f>INDEX(products!$A$1:$G$49,MATCH(orders!$D90,products!$A$1:$A$49,0),MATCH(orders!L$1,products!$A$1:$G$1,0))</f>
        <v>L</v>
      </c>
      <c r="M90" s="14">
        <f>INDEX(products!$A$1:$G$49,MATCH(orders!$D90,products!$A$1:$A$49,0),MATCH(orders!M$1,products!$A$1:$G$1,0))</f>
        <v>1</v>
      </c>
      <c r="N90" s="4">
        <f>INDEX(products!$A$1:$G$49,MATCH(orders!$D90,products!$A$1:$A$49,0),MATCH(orders!N$1,products!$A$1:$G$1,0))</f>
        <v>11.95</v>
      </c>
      <c r="O90" s="13">
        <f t="shared" si="5"/>
        <v>35.849999999999994</v>
      </c>
      <c r="P90" s="13">
        <f>_xlfn.XLOOKUP(Orders[[#This Row],[Product ID]],products!$A$1:$A$49,products!$G$1:$G$49,,0)</f>
        <v>0.71699999999999997</v>
      </c>
      <c r="Q90" s="13">
        <f t="shared" si="6"/>
        <v>2.1509999999999998</v>
      </c>
      <c r="R90" t="str">
        <f t="shared" si="8"/>
        <v>Robusta</v>
      </c>
      <c r="S90" t="str">
        <f t="shared" si="9"/>
        <v>Light</v>
      </c>
      <c r="T90" t="str">
        <f>_xlfn.XLOOKUP(Orders[[#This Row],[Customer ID]],customers!$A$1:$A$1001,customers!$I$1:$I$1001,,0)</f>
        <v>No</v>
      </c>
    </row>
    <row r="91" spans="1:20" x14ac:dyDescent="0.35">
      <c r="A91" s="2" t="s">
        <v>990</v>
      </c>
      <c r="B91" s="3">
        <v>44545</v>
      </c>
      <c r="C91" s="2" t="s">
        <v>991</v>
      </c>
      <c r="D91" t="s">
        <v>6140</v>
      </c>
      <c r="E91" t="str">
        <f t="shared" si="7"/>
        <v>Arabica-Light-1</v>
      </c>
      <c r="F91" s="2">
        <v>6</v>
      </c>
      <c r="G91" s="2" t="str" cm="1">
        <f t="array" ref="G91">_xlfn.XLOOKUP(C91, customers!$A$1:A1090,customers!$B$1:B1090,,0)</f>
        <v>Torie Gottelier</v>
      </c>
      <c r="H91" s="2" t="str" cm="1">
        <f t="array" ref="H91">IF(_xlfn.XLOOKUP(C91,customers!$A$1:A1090,customers!$C$1:C1090,,0) = 0,"", _xlfn.XLOOKUP(C91,customers!$A$1:A1090,customers!$C$1:C1090,,0))</f>
        <v>tgottelier2h@vistaprint.com</v>
      </c>
      <c r="I91" s="2" t="str">
        <f>_xlfn.XLOOKUP(C91,customers!$A$1:$A$1001,customers!$G$1:$G$1001,,0)</f>
        <v>United States</v>
      </c>
      <c r="J91" s="2" t="str">
        <f>_xlfn.XLOOKUP(Orders[[#This Row],[Customer ID]],customers!$A$1:$A$1001,customers!$F$1:$F$1001,,0)</f>
        <v>Kansas City</v>
      </c>
      <c r="K91" t="str">
        <f>INDEX(products!$A$1:$G$49,MATCH(orders!$D91,products!$A$1:$A$49,0),MATCH(orders!K$1,products!$A$1:$G$1,0))</f>
        <v>Ara</v>
      </c>
      <c r="L91" t="str">
        <f>INDEX(products!$A$1:$G$49,MATCH(orders!$D91,products!$A$1:$A$49,0),MATCH(orders!L$1,products!$A$1:$G$1,0))</f>
        <v>L</v>
      </c>
      <c r="M91" s="14">
        <f>INDEX(products!$A$1:$G$49,MATCH(orders!$D91,products!$A$1:$A$49,0),MATCH(orders!M$1,products!$A$1:$G$1,0))</f>
        <v>1</v>
      </c>
      <c r="N91" s="4">
        <f>INDEX(products!$A$1:$G$49,MATCH(orders!$D91,products!$A$1:$A$49,0),MATCH(orders!N$1,products!$A$1:$G$1,0))</f>
        <v>12.95</v>
      </c>
      <c r="O91" s="13">
        <f t="shared" si="5"/>
        <v>77.699999999999989</v>
      </c>
      <c r="P91" s="13">
        <f>_xlfn.XLOOKUP(Orders[[#This Row],[Product ID]],products!$A$1:$A$49,products!$G$1:$G$49,,0)</f>
        <v>1.1655</v>
      </c>
      <c r="Q91" s="13">
        <f t="shared" si="6"/>
        <v>6.9930000000000003</v>
      </c>
      <c r="R91" t="str">
        <f t="shared" si="8"/>
        <v>Arabica</v>
      </c>
      <c r="S91" t="str">
        <f t="shared" si="9"/>
        <v>Light</v>
      </c>
      <c r="T91" t="str">
        <f>_xlfn.XLOOKUP(Orders[[#This Row],[Customer ID]],customers!$A$1:$A$1001,customers!$I$1:$I$1001,,0)</f>
        <v>No</v>
      </c>
    </row>
    <row r="92" spans="1:20" x14ac:dyDescent="0.35">
      <c r="A92" s="2" t="s">
        <v>996</v>
      </c>
      <c r="B92" s="3">
        <v>43971</v>
      </c>
      <c r="C92" s="2" t="s">
        <v>997</v>
      </c>
      <c r="D92" t="s">
        <v>6140</v>
      </c>
      <c r="E92" t="str">
        <f t="shared" si="7"/>
        <v>Arabica-Light-1</v>
      </c>
      <c r="F92" s="2">
        <v>4</v>
      </c>
      <c r="G92" s="2" t="str" cm="1">
        <f t="array" ref="G92">_xlfn.XLOOKUP(C92, customers!$A$1:A1091,customers!$B$1:B1091,,0)</f>
        <v>Loydie Langlais</v>
      </c>
      <c r="H92" s="2" t="str" cm="1">
        <f t="array" ref="H92">IF(_xlfn.XLOOKUP(C92,customers!$A$1:A1091,customers!$C$1:C1091,,0) = 0,"", _xlfn.XLOOKUP(C92,customers!$A$1:A1091,customers!$C$1:C1091,,0))</f>
        <v/>
      </c>
      <c r="I92" s="2" t="str">
        <f>_xlfn.XLOOKUP(C92,customers!$A$1:$A$1001,customers!$G$1:$G$1001,,0)</f>
        <v>Ireland</v>
      </c>
      <c r="J92" s="2" t="str">
        <f>_xlfn.XLOOKUP(Orders[[#This Row],[Customer ID]],customers!$A$1:$A$1001,customers!$F$1:$F$1001,,0)</f>
        <v>Crumlin</v>
      </c>
      <c r="K92" t="str">
        <f>INDEX(products!$A$1:$G$49,MATCH(orders!$D92,products!$A$1:$A$49,0),MATCH(orders!K$1,products!$A$1:$G$1,0))</f>
        <v>Ara</v>
      </c>
      <c r="L92" t="str">
        <f>INDEX(products!$A$1:$G$49,MATCH(orders!$D92,products!$A$1:$A$49,0),MATCH(orders!L$1,products!$A$1:$G$1,0))</f>
        <v>L</v>
      </c>
      <c r="M92" s="14">
        <f>INDEX(products!$A$1:$G$49,MATCH(orders!$D92,products!$A$1:$A$49,0),MATCH(orders!M$1,products!$A$1:$G$1,0))</f>
        <v>1</v>
      </c>
      <c r="N92" s="4">
        <f>INDEX(products!$A$1:$G$49,MATCH(orders!$D92,products!$A$1:$A$49,0),MATCH(orders!N$1,products!$A$1:$G$1,0))</f>
        <v>12.95</v>
      </c>
      <c r="O92" s="13">
        <f t="shared" si="5"/>
        <v>51.8</v>
      </c>
      <c r="P92" s="13">
        <f>_xlfn.XLOOKUP(Orders[[#This Row],[Product ID]],products!$A$1:$A$49,products!$G$1:$G$49,,0)</f>
        <v>1.1655</v>
      </c>
      <c r="Q92" s="13">
        <f t="shared" si="6"/>
        <v>4.6619999999999999</v>
      </c>
      <c r="R92" t="str">
        <f t="shared" si="8"/>
        <v>Arabica</v>
      </c>
      <c r="S92" t="str">
        <f t="shared" si="9"/>
        <v>Light</v>
      </c>
      <c r="T92" t="str">
        <f>_xlfn.XLOOKUP(Orders[[#This Row],[Customer ID]],customers!$A$1:$A$1001,customers!$I$1:$I$1001,,0)</f>
        <v>Yes</v>
      </c>
    </row>
    <row r="93" spans="1:20" x14ac:dyDescent="0.35">
      <c r="A93" s="2" t="s">
        <v>1001</v>
      </c>
      <c r="B93" s="3">
        <v>44137</v>
      </c>
      <c r="C93" s="2" t="s">
        <v>1002</v>
      </c>
      <c r="D93" t="s">
        <v>6175</v>
      </c>
      <c r="E93" t="str">
        <f t="shared" si="7"/>
        <v>Arabica-Medium-2.5</v>
      </c>
      <c r="F93" s="2">
        <v>4</v>
      </c>
      <c r="G93" s="2" t="str" cm="1">
        <f t="array" ref="G93">_xlfn.XLOOKUP(C93, customers!$A$1:A1092,customers!$B$1:B1092,,0)</f>
        <v>Adham Greenhead</v>
      </c>
      <c r="H93" s="2" t="str" cm="1">
        <f t="array" ref="H93">IF(_xlfn.XLOOKUP(C93,customers!$A$1:A1092,customers!$C$1:C1092,,0) = 0,"", _xlfn.XLOOKUP(C93,customers!$A$1:A1092,customers!$C$1:C1092,,0))</f>
        <v>agreenhead2j@dailymail.co.uk</v>
      </c>
      <c r="I93" s="2" t="str">
        <f>_xlfn.XLOOKUP(C93,customers!$A$1:$A$1001,customers!$G$1:$G$1001,,0)</f>
        <v>United States</v>
      </c>
      <c r="J93" s="2" t="str">
        <f>_xlfn.XLOOKUP(Orders[[#This Row],[Customer ID]],customers!$A$1:$A$1001,customers!$F$1:$F$1001,,0)</f>
        <v>Corona</v>
      </c>
      <c r="K93" t="str">
        <f>INDEX(products!$A$1:$G$49,MATCH(orders!$D93,products!$A$1:$A$49,0),MATCH(orders!K$1,products!$A$1:$G$1,0))</f>
        <v>Ara</v>
      </c>
      <c r="L93" t="str">
        <f>INDEX(products!$A$1:$G$49,MATCH(orders!$D93,products!$A$1:$A$49,0),MATCH(orders!L$1,products!$A$1:$G$1,0))</f>
        <v>M</v>
      </c>
      <c r="M93" s="14">
        <f>INDEX(products!$A$1:$G$49,MATCH(orders!$D93,products!$A$1:$A$49,0),MATCH(orders!M$1,products!$A$1:$G$1,0))</f>
        <v>2.5</v>
      </c>
      <c r="N93" s="4">
        <f>INDEX(products!$A$1:$G$49,MATCH(orders!$D93,products!$A$1:$A$49,0),MATCH(orders!N$1,products!$A$1:$G$1,0))</f>
        <v>25.874999999999996</v>
      </c>
      <c r="O93" s="13">
        <f t="shared" si="5"/>
        <v>103.49999999999999</v>
      </c>
      <c r="P93" s="13">
        <f>_xlfn.XLOOKUP(Orders[[#This Row],[Product ID]],products!$A$1:$A$49,products!$G$1:$G$49,,0)</f>
        <v>2.3287499999999994</v>
      </c>
      <c r="Q93" s="13">
        <f t="shared" si="6"/>
        <v>9.3149999999999977</v>
      </c>
      <c r="R93" t="str">
        <f t="shared" si="8"/>
        <v>Arabica</v>
      </c>
      <c r="S93" t="str">
        <f t="shared" si="9"/>
        <v>Medium</v>
      </c>
      <c r="T93" t="str">
        <f>_xlfn.XLOOKUP(Orders[[#This Row],[Customer ID]],customers!$A$1:$A$1001,customers!$I$1:$I$1001,,0)</f>
        <v>No</v>
      </c>
    </row>
    <row r="94" spans="1:20" x14ac:dyDescent="0.35">
      <c r="A94" s="2" t="s">
        <v>1007</v>
      </c>
      <c r="B94" s="3">
        <v>44037</v>
      </c>
      <c r="C94" s="2" t="s">
        <v>1008</v>
      </c>
      <c r="D94" t="s">
        <v>6171</v>
      </c>
      <c r="E94" t="str">
        <f t="shared" si="7"/>
        <v>Excelsa-Light-1</v>
      </c>
      <c r="F94" s="2">
        <v>3</v>
      </c>
      <c r="G94" s="2" t="str" cm="1">
        <f t="array" ref="G94">_xlfn.XLOOKUP(C94, customers!$A$1:A1093,customers!$B$1:B1093,,0)</f>
        <v>Hamish MacSherry</v>
      </c>
      <c r="H94" s="2" t="str" cm="1">
        <f t="array" ref="H94">IF(_xlfn.XLOOKUP(C94,customers!$A$1:A1093,customers!$C$1:C1093,,0) = 0,"", _xlfn.XLOOKUP(C94,customers!$A$1:A1093,customers!$C$1:C1093,,0))</f>
        <v/>
      </c>
      <c r="I94" s="2" t="str">
        <f>_xlfn.XLOOKUP(C94,customers!$A$1:$A$1001,customers!$G$1:$G$1001,,0)</f>
        <v>United States</v>
      </c>
      <c r="J94" s="2" t="str">
        <f>_xlfn.XLOOKUP(Orders[[#This Row],[Customer ID]],customers!$A$1:$A$1001,customers!$F$1:$F$1001,,0)</f>
        <v>Austin</v>
      </c>
      <c r="K94" t="str">
        <f>INDEX(products!$A$1:$G$49,MATCH(orders!$D94,products!$A$1:$A$49,0),MATCH(orders!K$1,products!$A$1:$G$1,0))</f>
        <v>Exc</v>
      </c>
      <c r="L94" t="str">
        <f>INDEX(products!$A$1:$G$49,MATCH(orders!$D94,products!$A$1:$A$49,0),MATCH(orders!L$1,products!$A$1:$G$1,0))</f>
        <v>L</v>
      </c>
      <c r="M94" s="14">
        <f>INDEX(products!$A$1:$G$49,MATCH(orders!$D94,products!$A$1:$A$49,0),MATCH(orders!M$1,products!$A$1:$G$1,0))</f>
        <v>1</v>
      </c>
      <c r="N94" s="4">
        <f>INDEX(products!$A$1:$G$49,MATCH(orders!$D94,products!$A$1:$A$49,0),MATCH(orders!N$1,products!$A$1:$G$1,0))</f>
        <v>14.85</v>
      </c>
      <c r="O94" s="13">
        <f t="shared" si="5"/>
        <v>44.55</v>
      </c>
      <c r="P94" s="13">
        <f>_xlfn.XLOOKUP(Orders[[#This Row],[Product ID]],products!$A$1:$A$49,products!$G$1:$G$49,,0)</f>
        <v>1.6335</v>
      </c>
      <c r="Q94" s="13">
        <f t="shared" si="6"/>
        <v>4.9005000000000001</v>
      </c>
      <c r="R94" t="str">
        <f t="shared" si="8"/>
        <v>Execelsa</v>
      </c>
      <c r="S94" t="str">
        <f t="shared" si="9"/>
        <v>Light</v>
      </c>
      <c r="T94" t="str">
        <f>_xlfn.XLOOKUP(Orders[[#This Row],[Customer ID]],customers!$A$1:$A$1001,customers!$I$1:$I$1001,,0)</f>
        <v>Yes</v>
      </c>
    </row>
    <row r="95" spans="1:20" x14ac:dyDescent="0.35">
      <c r="A95" s="2" t="s">
        <v>1012</v>
      </c>
      <c r="B95" s="3">
        <v>43538</v>
      </c>
      <c r="C95" s="2" t="s">
        <v>1013</v>
      </c>
      <c r="D95" t="s">
        <v>6176</v>
      </c>
      <c r="E95" t="str">
        <f t="shared" si="7"/>
        <v>Excelsa-Light-0.5</v>
      </c>
      <c r="F95" s="2">
        <v>4</v>
      </c>
      <c r="G95" s="2" t="str" cm="1">
        <f t="array" ref="G95">_xlfn.XLOOKUP(C95, customers!$A$1:A1094,customers!$B$1:B1094,,0)</f>
        <v>Else Langcaster</v>
      </c>
      <c r="H95" s="2" t="str" cm="1">
        <f t="array" ref="H95">IF(_xlfn.XLOOKUP(C95,customers!$A$1:A1094,customers!$C$1:C1094,,0) = 0,"", _xlfn.XLOOKUP(C95,customers!$A$1:A1094,customers!$C$1:C1094,,0))</f>
        <v>elangcaster2l@spotify.com</v>
      </c>
      <c r="I95" s="2" t="str">
        <f>_xlfn.XLOOKUP(C95,customers!$A$1:$A$1001,customers!$G$1:$G$1001,,0)</f>
        <v>United Kingdom</v>
      </c>
      <c r="J95" s="2" t="str">
        <f>_xlfn.XLOOKUP(Orders[[#This Row],[Customer ID]],customers!$A$1:$A$1001,customers!$F$1:$F$1001,,0)</f>
        <v>Normanton</v>
      </c>
      <c r="K95" t="str">
        <f>INDEX(products!$A$1:$G$49,MATCH(orders!$D95,products!$A$1:$A$49,0),MATCH(orders!K$1,products!$A$1:$G$1,0))</f>
        <v>Exc</v>
      </c>
      <c r="L95" t="str">
        <f>INDEX(products!$A$1:$G$49,MATCH(orders!$D95,products!$A$1:$A$49,0),MATCH(orders!L$1,products!$A$1:$G$1,0))</f>
        <v>L</v>
      </c>
      <c r="M95" s="14">
        <f>INDEX(products!$A$1:$G$49,MATCH(orders!$D95,products!$A$1:$A$49,0),MATCH(orders!M$1,products!$A$1:$G$1,0))</f>
        <v>0.5</v>
      </c>
      <c r="N95" s="4">
        <f>INDEX(products!$A$1:$G$49,MATCH(orders!$D95,products!$A$1:$A$49,0),MATCH(orders!N$1,products!$A$1:$G$1,0))</f>
        <v>8.91</v>
      </c>
      <c r="O95" s="13">
        <f t="shared" si="5"/>
        <v>35.64</v>
      </c>
      <c r="P95" s="13">
        <f>_xlfn.XLOOKUP(Orders[[#This Row],[Product ID]],products!$A$1:$A$49,products!$G$1:$G$49,,0)</f>
        <v>0.98009999999999997</v>
      </c>
      <c r="Q95" s="13">
        <f t="shared" si="6"/>
        <v>3.9203999999999999</v>
      </c>
      <c r="R95" t="str">
        <f t="shared" si="8"/>
        <v>Execelsa</v>
      </c>
      <c r="S95" t="str">
        <f t="shared" si="9"/>
        <v>Light</v>
      </c>
      <c r="T95" t="str">
        <f>_xlfn.XLOOKUP(Orders[[#This Row],[Customer ID]],customers!$A$1:$A$1001,customers!$I$1:$I$1001,,0)</f>
        <v>Yes</v>
      </c>
    </row>
    <row r="96" spans="1:20" x14ac:dyDescent="0.35">
      <c r="A96" s="2" t="s">
        <v>1018</v>
      </c>
      <c r="B96" s="3">
        <v>44014</v>
      </c>
      <c r="C96" s="2" t="s">
        <v>1019</v>
      </c>
      <c r="D96" t="s">
        <v>6154</v>
      </c>
      <c r="E96" t="str">
        <f t="shared" si="7"/>
        <v>Arabica-Dark-0.2</v>
      </c>
      <c r="F96" s="2">
        <v>6</v>
      </c>
      <c r="G96" s="2" t="str" cm="1">
        <f t="array" ref="G96">_xlfn.XLOOKUP(C96, customers!$A$1:A1095,customers!$B$1:B1095,,0)</f>
        <v>Rudy Farquharson</v>
      </c>
      <c r="H96" s="2" t="str" cm="1">
        <f t="array" ref="H96">IF(_xlfn.XLOOKUP(C96,customers!$A$1:A1095,customers!$C$1:C1095,,0) = 0,"", _xlfn.XLOOKUP(C96,customers!$A$1:A1095,customers!$C$1:C1095,,0))</f>
        <v/>
      </c>
      <c r="I96" s="2" t="str">
        <f>_xlfn.XLOOKUP(C96,customers!$A$1:$A$1001,customers!$G$1:$G$1001,,0)</f>
        <v>Ireland</v>
      </c>
      <c r="J96" s="2" t="str">
        <f>_xlfn.XLOOKUP(Orders[[#This Row],[Customer ID]],customers!$A$1:$A$1001,customers!$F$1:$F$1001,,0)</f>
        <v>Charlesland</v>
      </c>
      <c r="K96" t="str">
        <f>INDEX(products!$A$1:$G$49,MATCH(orders!$D96,products!$A$1:$A$49,0),MATCH(orders!K$1,products!$A$1:$G$1,0))</f>
        <v>Ara</v>
      </c>
      <c r="L96" t="str">
        <f>INDEX(products!$A$1:$G$49,MATCH(orders!$D96,products!$A$1:$A$49,0),MATCH(orders!L$1,products!$A$1:$G$1,0))</f>
        <v>D</v>
      </c>
      <c r="M96" s="14">
        <f>INDEX(products!$A$1:$G$49,MATCH(orders!$D96,products!$A$1:$A$49,0),MATCH(orders!M$1,products!$A$1:$G$1,0))</f>
        <v>0.2</v>
      </c>
      <c r="N96" s="4">
        <f>INDEX(products!$A$1:$G$49,MATCH(orders!$D96,products!$A$1:$A$49,0),MATCH(orders!N$1,products!$A$1:$G$1,0))</f>
        <v>2.9849999999999999</v>
      </c>
      <c r="O96" s="13">
        <f t="shared" si="5"/>
        <v>17.91</v>
      </c>
      <c r="P96" s="13">
        <f>_xlfn.XLOOKUP(Orders[[#This Row],[Product ID]],products!$A$1:$A$49,products!$G$1:$G$49,,0)</f>
        <v>0.26865</v>
      </c>
      <c r="Q96" s="13">
        <f t="shared" si="6"/>
        <v>1.6118999999999999</v>
      </c>
      <c r="R96" t="str">
        <f t="shared" si="8"/>
        <v>Arabica</v>
      </c>
      <c r="S96" t="str">
        <f t="shared" si="9"/>
        <v>Dark</v>
      </c>
      <c r="T96" t="str">
        <f>_xlfn.XLOOKUP(Orders[[#This Row],[Customer ID]],customers!$A$1:$A$1001,customers!$I$1:$I$1001,,0)</f>
        <v>Yes</v>
      </c>
    </row>
    <row r="97" spans="1:20" x14ac:dyDescent="0.35">
      <c r="A97" s="2" t="s">
        <v>1022</v>
      </c>
      <c r="B97" s="3">
        <v>43816</v>
      </c>
      <c r="C97" s="2" t="s">
        <v>1023</v>
      </c>
      <c r="D97" t="s">
        <v>6175</v>
      </c>
      <c r="E97" t="str">
        <f t="shared" si="7"/>
        <v>Arabica-Medium-2.5</v>
      </c>
      <c r="F97" s="2">
        <v>6</v>
      </c>
      <c r="G97" s="2" t="str" cm="1">
        <f t="array" ref="G97">_xlfn.XLOOKUP(C97, customers!$A$1:A1096,customers!$B$1:B1096,,0)</f>
        <v>Norene Magauran</v>
      </c>
      <c r="H97" s="2" t="str" cm="1">
        <f t="array" ref="H97">IF(_xlfn.XLOOKUP(C97,customers!$A$1:A1096,customers!$C$1:C1096,,0) = 0,"", _xlfn.XLOOKUP(C97,customers!$A$1:A1096,customers!$C$1:C1096,,0))</f>
        <v>nmagauran2n@51.la</v>
      </c>
      <c r="I97" s="2" t="str">
        <f>_xlfn.XLOOKUP(C97,customers!$A$1:$A$1001,customers!$G$1:$G$1001,,0)</f>
        <v>United States</v>
      </c>
      <c r="J97" s="2" t="str">
        <f>_xlfn.XLOOKUP(Orders[[#This Row],[Customer ID]],customers!$A$1:$A$1001,customers!$F$1:$F$1001,,0)</f>
        <v>Fresno</v>
      </c>
      <c r="K97" t="str">
        <f>INDEX(products!$A$1:$G$49,MATCH(orders!$D97,products!$A$1:$A$49,0),MATCH(orders!K$1,products!$A$1:$G$1,0))</f>
        <v>Ara</v>
      </c>
      <c r="L97" t="str">
        <f>INDEX(products!$A$1:$G$49,MATCH(orders!$D97,products!$A$1:$A$49,0),MATCH(orders!L$1,products!$A$1:$G$1,0))</f>
        <v>M</v>
      </c>
      <c r="M97" s="14">
        <f>INDEX(products!$A$1:$G$49,MATCH(orders!$D97,products!$A$1:$A$49,0),MATCH(orders!M$1,products!$A$1:$G$1,0))</f>
        <v>2.5</v>
      </c>
      <c r="N97" s="4">
        <f>INDEX(products!$A$1:$G$49,MATCH(orders!$D97,products!$A$1:$A$49,0),MATCH(orders!N$1,products!$A$1:$G$1,0))</f>
        <v>25.874999999999996</v>
      </c>
      <c r="O97" s="13">
        <f t="shared" si="5"/>
        <v>155.24999999999997</v>
      </c>
      <c r="P97" s="13">
        <f>_xlfn.XLOOKUP(Orders[[#This Row],[Product ID]],products!$A$1:$A$49,products!$G$1:$G$49,,0)</f>
        <v>2.3287499999999994</v>
      </c>
      <c r="Q97" s="13">
        <f t="shared" si="6"/>
        <v>13.972499999999997</v>
      </c>
      <c r="R97" t="str">
        <f t="shared" si="8"/>
        <v>Arabica</v>
      </c>
      <c r="S97" t="str">
        <f t="shared" si="9"/>
        <v>Medium</v>
      </c>
      <c r="T97" t="str">
        <f>_xlfn.XLOOKUP(Orders[[#This Row],[Customer ID]],customers!$A$1:$A$1001,customers!$I$1:$I$1001,,0)</f>
        <v>No</v>
      </c>
    </row>
    <row r="98" spans="1:20" x14ac:dyDescent="0.35">
      <c r="A98" s="2" t="s">
        <v>1027</v>
      </c>
      <c r="B98" s="3">
        <v>44171</v>
      </c>
      <c r="C98" s="2" t="s">
        <v>1028</v>
      </c>
      <c r="D98" t="s">
        <v>6154</v>
      </c>
      <c r="E98" t="str">
        <f t="shared" si="7"/>
        <v>Arabica-Dark-0.2</v>
      </c>
      <c r="F98" s="2">
        <v>2</v>
      </c>
      <c r="G98" s="2" t="str" cm="1">
        <f t="array" ref="G98">_xlfn.XLOOKUP(C98, customers!$A$1:A1097,customers!$B$1:B1097,,0)</f>
        <v>Vicki Kirdsch</v>
      </c>
      <c r="H98" s="2" t="str" cm="1">
        <f t="array" ref="H98">IF(_xlfn.XLOOKUP(C98,customers!$A$1:A1097,customers!$C$1:C1097,,0) = 0,"", _xlfn.XLOOKUP(C98,customers!$A$1:A1097,customers!$C$1:C1097,,0))</f>
        <v>vkirdsch2o@google.fr</v>
      </c>
      <c r="I98" s="2" t="str">
        <f>_xlfn.XLOOKUP(C98,customers!$A$1:$A$1001,customers!$G$1:$G$1001,,0)</f>
        <v>United States</v>
      </c>
      <c r="J98" s="2" t="str">
        <f>_xlfn.XLOOKUP(Orders[[#This Row],[Customer ID]],customers!$A$1:$A$1001,customers!$F$1:$F$1001,,0)</f>
        <v>Saint Louis</v>
      </c>
      <c r="K98" t="str">
        <f>INDEX(products!$A$1:$G$49,MATCH(orders!$D98,products!$A$1:$A$49,0),MATCH(orders!K$1,products!$A$1:$G$1,0))</f>
        <v>Ara</v>
      </c>
      <c r="L98" t="str">
        <f>INDEX(products!$A$1:$G$49,MATCH(orders!$D98,products!$A$1:$A$49,0),MATCH(orders!L$1,products!$A$1:$G$1,0))</f>
        <v>D</v>
      </c>
      <c r="M98" s="14">
        <f>INDEX(products!$A$1:$G$49,MATCH(orders!$D98,products!$A$1:$A$49,0),MATCH(orders!M$1,products!$A$1:$G$1,0))</f>
        <v>0.2</v>
      </c>
      <c r="N98" s="4">
        <f>INDEX(products!$A$1:$G$49,MATCH(orders!$D98,products!$A$1:$A$49,0),MATCH(orders!N$1,products!$A$1:$G$1,0))</f>
        <v>2.9849999999999999</v>
      </c>
      <c r="O98" s="13">
        <f t="shared" si="5"/>
        <v>5.97</v>
      </c>
      <c r="P98" s="13">
        <f>_xlfn.XLOOKUP(Orders[[#This Row],[Product ID]],products!$A$1:$A$49,products!$G$1:$G$49,,0)</f>
        <v>0.26865</v>
      </c>
      <c r="Q98" s="13">
        <f t="shared" si="6"/>
        <v>0.5373</v>
      </c>
      <c r="R98" t="str">
        <f t="shared" si="8"/>
        <v>Arabica</v>
      </c>
      <c r="S98" t="str">
        <f t="shared" si="9"/>
        <v>Dark</v>
      </c>
      <c r="T98" t="str">
        <f>_xlfn.XLOOKUP(Orders[[#This Row],[Customer ID]],customers!$A$1:$A$1001,customers!$I$1:$I$1001,,0)</f>
        <v>No</v>
      </c>
    </row>
    <row r="99" spans="1:20" x14ac:dyDescent="0.35">
      <c r="A99" s="2" t="s">
        <v>1032</v>
      </c>
      <c r="B99" s="3">
        <v>44259</v>
      </c>
      <c r="C99" s="2" t="s">
        <v>1033</v>
      </c>
      <c r="D99" t="s">
        <v>6157</v>
      </c>
      <c r="E99" t="str">
        <f t="shared" si="7"/>
        <v>Arabica-Medium-0.5</v>
      </c>
      <c r="F99" s="2">
        <v>2</v>
      </c>
      <c r="G99" s="2" t="str" cm="1">
        <f t="array" ref="G99">_xlfn.XLOOKUP(C99, customers!$A$1:A1098,customers!$B$1:B1098,,0)</f>
        <v>Ilysa Whapple</v>
      </c>
      <c r="H99" s="2" t="str" cm="1">
        <f t="array" ref="H99">IF(_xlfn.XLOOKUP(C99,customers!$A$1:A1098,customers!$C$1:C1098,,0) = 0,"", _xlfn.XLOOKUP(C99,customers!$A$1:A1098,customers!$C$1:C1098,,0))</f>
        <v>iwhapple2p@com.com</v>
      </c>
      <c r="I99" s="2" t="str">
        <f>_xlfn.XLOOKUP(C99,customers!$A$1:$A$1001,customers!$G$1:$G$1001,,0)</f>
        <v>United States</v>
      </c>
      <c r="J99" s="2" t="str">
        <f>_xlfn.XLOOKUP(Orders[[#This Row],[Customer ID]],customers!$A$1:$A$1001,customers!$F$1:$F$1001,,0)</f>
        <v>Fresno</v>
      </c>
      <c r="K99" t="str">
        <f>INDEX(products!$A$1:$G$49,MATCH(orders!$D99,products!$A$1:$A$49,0),MATCH(orders!K$1,products!$A$1:$G$1,0))</f>
        <v>Ara</v>
      </c>
      <c r="L99" t="str">
        <f>INDEX(products!$A$1:$G$49,MATCH(orders!$D99,products!$A$1:$A$49,0),MATCH(orders!L$1,products!$A$1:$G$1,0))</f>
        <v>M</v>
      </c>
      <c r="M99" s="14">
        <f>INDEX(products!$A$1:$G$49,MATCH(orders!$D99,products!$A$1:$A$49,0),MATCH(orders!M$1,products!$A$1:$G$1,0))</f>
        <v>0.5</v>
      </c>
      <c r="N99" s="4">
        <f>INDEX(products!$A$1:$G$49,MATCH(orders!$D99,products!$A$1:$A$49,0),MATCH(orders!N$1,products!$A$1:$G$1,0))</f>
        <v>6.75</v>
      </c>
      <c r="O99" s="13">
        <f t="shared" si="5"/>
        <v>13.5</v>
      </c>
      <c r="P99" s="13">
        <f>_xlfn.XLOOKUP(Orders[[#This Row],[Product ID]],products!$A$1:$A$49,products!$G$1:$G$49,,0)</f>
        <v>0.60749999999999993</v>
      </c>
      <c r="Q99" s="13">
        <f t="shared" si="6"/>
        <v>1.2149999999999999</v>
      </c>
      <c r="R99" t="str">
        <f t="shared" si="8"/>
        <v>Arabica</v>
      </c>
      <c r="S99" t="str">
        <f t="shared" si="9"/>
        <v>Medium</v>
      </c>
      <c r="T99" t="str">
        <f>_xlfn.XLOOKUP(Orders[[#This Row],[Customer ID]],customers!$A$1:$A$1001,customers!$I$1:$I$1001,,0)</f>
        <v>No</v>
      </c>
    </row>
    <row r="100" spans="1:20" x14ac:dyDescent="0.35">
      <c r="A100" s="2" t="s">
        <v>1038</v>
      </c>
      <c r="B100" s="3">
        <v>44394</v>
      </c>
      <c r="C100" s="2" t="s">
        <v>1039</v>
      </c>
      <c r="D100" t="s">
        <v>6154</v>
      </c>
      <c r="E100" t="str">
        <f t="shared" si="7"/>
        <v>Arabica-Dark-0.2</v>
      </c>
      <c r="F100" s="2">
        <v>1</v>
      </c>
      <c r="G100" s="2" t="str" cm="1">
        <f t="array" ref="G100">_xlfn.XLOOKUP(C100, customers!$A$1:A1099,customers!$B$1:B1099,,0)</f>
        <v>Ruy Cancellieri</v>
      </c>
      <c r="H100" s="2" t="str" cm="1">
        <f t="array" ref="H100">IF(_xlfn.XLOOKUP(C100,customers!$A$1:A1099,customers!$C$1:C1099,,0) = 0,"", _xlfn.XLOOKUP(C100,customers!$A$1:A1099,customers!$C$1:C1099,,0))</f>
        <v/>
      </c>
      <c r="I100" s="2" t="str">
        <f>_xlfn.XLOOKUP(C100,customers!$A$1:$A$1001,customers!$G$1:$G$1001,,0)</f>
        <v>Ireland</v>
      </c>
      <c r="J100" s="2" t="str">
        <f>_xlfn.XLOOKUP(Orders[[#This Row],[Customer ID]],customers!$A$1:$A$1001,customers!$F$1:$F$1001,,0)</f>
        <v>Confey</v>
      </c>
      <c r="K100" t="str">
        <f>INDEX(products!$A$1:$G$49,MATCH(orders!$D100,products!$A$1:$A$49,0),MATCH(orders!K$1,products!$A$1:$G$1,0))</f>
        <v>Ara</v>
      </c>
      <c r="L100" t="str">
        <f>INDEX(products!$A$1:$G$49,MATCH(orders!$D100,products!$A$1:$A$49,0),MATCH(orders!L$1,products!$A$1:$G$1,0))</f>
        <v>D</v>
      </c>
      <c r="M100" s="14">
        <f>INDEX(products!$A$1:$G$49,MATCH(orders!$D100,products!$A$1:$A$49,0),MATCH(orders!M$1,products!$A$1:$G$1,0))</f>
        <v>0.2</v>
      </c>
      <c r="N100" s="4">
        <f>INDEX(products!$A$1:$G$49,MATCH(orders!$D100,products!$A$1:$A$49,0),MATCH(orders!N$1,products!$A$1:$G$1,0))</f>
        <v>2.9849999999999999</v>
      </c>
      <c r="O100" s="13">
        <f t="shared" si="5"/>
        <v>2.9849999999999999</v>
      </c>
      <c r="P100" s="13">
        <f>_xlfn.XLOOKUP(Orders[[#This Row],[Product ID]],products!$A$1:$A$49,products!$G$1:$G$49,,0)</f>
        <v>0.26865</v>
      </c>
      <c r="Q100" s="13">
        <f t="shared" si="6"/>
        <v>0.26865</v>
      </c>
      <c r="R100" t="str">
        <f t="shared" si="8"/>
        <v>Arabica</v>
      </c>
      <c r="S100" t="str">
        <f t="shared" si="9"/>
        <v>Dark</v>
      </c>
      <c r="T100" t="str">
        <f>_xlfn.XLOOKUP(Orders[[#This Row],[Customer ID]],customers!$A$1:$A$1001,customers!$I$1:$I$1001,,0)</f>
        <v>No</v>
      </c>
    </row>
    <row r="101" spans="1:20" x14ac:dyDescent="0.35">
      <c r="A101" s="2" t="s">
        <v>1043</v>
      </c>
      <c r="B101" s="3">
        <v>44139</v>
      </c>
      <c r="C101" s="2" t="s">
        <v>1044</v>
      </c>
      <c r="D101" t="s">
        <v>6159</v>
      </c>
      <c r="E101" t="str">
        <f t="shared" si="7"/>
        <v>Liberica-Medium-0.2</v>
      </c>
      <c r="F101" s="2">
        <v>3</v>
      </c>
      <c r="G101" s="2" t="str" cm="1">
        <f t="array" ref="G101">_xlfn.XLOOKUP(C101, customers!$A$1:A1100,customers!$B$1:B1100,,0)</f>
        <v>Aube Follett</v>
      </c>
      <c r="H101" s="2" t="str" cm="1">
        <f t="array" ref="H101">IF(_xlfn.XLOOKUP(C101,customers!$A$1:A1100,customers!$C$1:C1100,,0) = 0,"", _xlfn.XLOOKUP(C101,customers!$A$1:A1100,customers!$C$1:C1100,,0))</f>
        <v/>
      </c>
      <c r="I101" s="2" t="str">
        <f>_xlfn.XLOOKUP(C101,customers!$A$1:$A$1001,customers!$G$1:$G$1001,,0)</f>
        <v>United States</v>
      </c>
      <c r="J101" s="2" t="str">
        <f>_xlfn.XLOOKUP(Orders[[#This Row],[Customer ID]],customers!$A$1:$A$1001,customers!$F$1:$F$1001,,0)</f>
        <v>Columbus</v>
      </c>
      <c r="K101" t="str">
        <f>INDEX(products!$A$1:$G$49,MATCH(orders!$D101,products!$A$1:$A$49,0),MATCH(orders!K$1,products!$A$1:$G$1,0))</f>
        <v>Lib</v>
      </c>
      <c r="L101" t="str">
        <f>INDEX(products!$A$1:$G$49,MATCH(orders!$D101,products!$A$1:$A$49,0),MATCH(orders!L$1,products!$A$1:$G$1,0))</f>
        <v>M</v>
      </c>
      <c r="M101" s="14">
        <f>INDEX(products!$A$1:$G$49,MATCH(orders!$D101,products!$A$1:$A$49,0),MATCH(orders!M$1,products!$A$1:$G$1,0))</f>
        <v>0.2</v>
      </c>
      <c r="N101" s="4">
        <f>INDEX(products!$A$1:$G$49,MATCH(orders!$D101,products!$A$1:$A$49,0),MATCH(orders!N$1,products!$A$1:$G$1,0))</f>
        <v>4.3650000000000002</v>
      </c>
      <c r="O101" s="13">
        <f t="shared" si="5"/>
        <v>13.095000000000001</v>
      </c>
      <c r="P101" s="13">
        <f>_xlfn.XLOOKUP(Orders[[#This Row],[Product ID]],products!$A$1:$A$49,products!$G$1:$G$49,,0)</f>
        <v>0.56745000000000001</v>
      </c>
      <c r="Q101" s="13">
        <f t="shared" si="6"/>
        <v>1.70235</v>
      </c>
      <c r="R101" t="str">
        <f t="shared" si="8"/>
        <v>Liberica</v>
      </c>
      <c r="S101" t="str">
        <f t="shared" si="9"/>
        <v>Medium</v>
      </c>
      <c r="T101" t="str">
        <f>_xlfn.XLOOKUP(Orders[[#This Row],[Customer ID]],customers!$A$1:$A$1001,customers!$I$1:$I$1001,,0)</f>
        <v>Yes</v>
      </c>
    </row>
    <row r="102" spans="1:20" x14ac:dyDescent="0.35">
      <c r="A102" s="2" t="s">
        <v>1048</v>
      </c>
      <c r="B102" s="3">
        <v>44291</v>
      </c>
      <c r="C102" s="2" t="s">
        <v>1049</v>
      </c>
      <c r="D102" t="s">
        <v>6167</v>
      </c>
      <c r="E102" t="str">
        <f t="shared" si="7"/>
        <v>Arabica-Light-0.2</v>
      </c>
      <c r="F102" s="2">
        <v>2</v>
      </c>
      <c r="G102" s="2" t="str" cm="1">
        <f t="array" ref="G102">_xlfn.XLOOKUP(C102, customers!$A$1:A1101,customers!$B$1:B1101,,0)</f>
        <v>Rudiger Di Bartolomeo</v>
      </c>
      <c r="H102" s="2" t="str" cm="1">
        <f t="array" ref="H102">IF(_xlfn.XLOOKUP(C102,customers!$A$1:A1101,customers!$C$1:C1101,,0) = 0,"", _xlfn.XLOOKUP(C102,customers!$A$1:A1101,customers!$C$1:C1101,,0))</f>
        <v/>
      </c>
      <c r="I102" s="2" t="str">
        <f>_xlfn.XLOOKUP(C102,customers!$A$1:$A$1001,customers!$G$1:$G$1001,,0)</f>
        <v>United States</v>
      </c>
      <c r="J102" s="2" t="str">
        <f>_xlfn.XLOOKUP(Orders[[#This Row],[Customer ID]],customers!$A$1:$A$1001,customers!$F$1:$F$1001,,0)</f>
        <v>Stockton</v>
      </c>
      <c r="K102" t="str">
        <f>INDEX(products!$A$1:$G$49,MATCH(orders!$D102,products!$A$1:$A$49,0),MATCH(orders!K$1,products!$A$1:$G$1,0))</f>
        <v>Ara</v>
      </c>
      <c r="L102" t="str">
        <f>INDEX(products!$A$1:$G$49,MATCH(orders!$D102,products!$A$1:$A$49,0),MATCH(orders!L$1,products!$A$1:$G$1,0))</f>
        <v>L</v>
      </c>
      <c r="M102" s="14">
        <f>INDEX(products!$A$1:$G$49,MATCH(orders!$D102,products!$A$1:$A$49,0),MATCH(orders!M$1,products!$A$1:$G$1,0))</f>
        <v>0.2</v>
      </c>
      <c r="N102" s="4">
        <f>INDEX(products!$A$1:$G$49,MATCH(orders!$D102,products!$A$1:$A$49,0),MATCH(orders!N$1,products!$A$1:$G$1,0))</f>
        <v>3.8849999999999998</v>
      </c>
      <c r="O102" s="13">
        <f t="shared" si="5"/>
        <v>7.77</v>
      </c>
      <c r="P102" s="13">
        <f>_xlfn.XLOOKUP(Orders[[#This Row],[Product ID]],products!$A$1:$A$49,products!$G$1:$G$49,,0)</f>
        <v>0.34964999999999996</v>
      </c>
      <c r="Q102" s="13">
        <f t="shared" si="6"/>
        <v>0.69929999999999992</v>
      </c>
      <c r="R102" t="str">
        <f t="shared" si="8"/>
        <v>Arabica</v>
      </c>
      <c r="S102" t="str">
        <f t="shared" si="9"/>
        <v>Light</v>
      </c>
      <c r="T102" t="str">
        <f>_xlfn.XLOOKUP(Orders[[#This Row],[Customer ID]],customers!$A$1:$A$1001,customers!$I$1:$I$1001,,0)</f>
        <v>Yes</v>
      </c>
    </row>
    <row r="103" spans="1:20" x14ac:dyDescent="0.35">
      <c r="A103" s="2" t="s">
        <v>1053</v>
      </c>
      <c r="B103" s="3">
        <v>43891</v>
      </c>
      <c r="C103" s="2" t="s">
        <v>1054</v>
      </c>
      <c r="D103" t="s">
        <v>6165</v>
      </c>
      <c r="E103" t="str">
        <f t="shared" si="7"/>
        <v>Liberica-Dark-2.5</v>
      </c>
      <c r="F103" s="2">
        <v>5</v>
      </c>
      <c r="G103" s="2" t="str" cm="1">
        <f t="array" ref="G103">_xlfn.XLOOKUP(C103, customers!$A$1:A1102,customers!$B$1:B1102,,0)</f>
        <v>Nickey Youles</v>
      </c>
      <c r="H103" s="2" t="str" cm="1">
        <f t="array" ref="H103">IF(_xlfn.XLOOKUP(C103,customers!$A$1:A1102,customers!$C$1:C1102,,0) = 0,"", _xlfn.XLOOKUP(C103,customers!$A$1:A1102,customers!$C$1:C1102,,0))</f>
        <v>nyoules2t@reference.com</v>
      </c>
      <c r="I103" s="2" t="str">
        <f>_xlfn.XLOOKUP(C103,customers!$A$1:$A$1001,customers!$G$1:$G$1001,,0)</f>
        <v>Ireland</v>
      </c>
      <c r="J103" s="2" t="str">
        <f>_xlfn.XLOOKUP(Orders[[#This Row],[Customer ID]],customers!$A$1:$A$1001,customers!$F$1:$F$1001,,0)</f>
        <v>Edgeworthstown</v>
      </c>
      <c r="K103" t="str">
        <f>INDEX(products!$A$1:$G$49,MATCH(orders!$D103,products!$A$1:$A$49,0),MATCH(orders!K$1,products!$A$1:$G$1,0))</f>
        <v>Lib</v>
      </c>
      <c r="L103" t="str">
        <f>INDEX(products!$A$1:$G$49,MATCH(orders!$D103,products!$A$1:$A$49,0),MATCH(orders!L$1,products!$A$1:$G$1,0))</f>
        <v>D</v>
      </c>
      <c r="M103" s="14">
        <f>INDEX(products!$A$1:$G$49,MATCH(orders!$D103,products!$A$1:$A$49,0),MATCH(orders!M$1,products!$A$1:$G$1,0))</f>
        <v>2.5</v>
      </c>
      <c r="N103" s="4">
        <f>INDEX(products!$A$1:$G$49,MATCH(orders!$D103,products!$A$1:$A$49,0),MATCH(orders!N$1,products!$A$1:$G$1,0))</f>
        <v>29.784999999999997</v>
      </c>
      <c r="O103" s="13">
        <f t="shared" si="5"/>
        <v>148.92499999999998</v>
      </c>
      <c r="P103" s="13">
        <f>_xlfn.XLOOKUP(Orders[[#This Row],[Product ID]],products!$A$1:$A$49,products!$G$1:$G$49,,0)</f>
        <v>3.8720499999999998</v>
      </c>
      <c r="Q103" s="13">
        <f t="shared" si="6"/>
        <v>19.360250000000001</v>
      </c>
      <c r="R103" t="str">
        <f t="shared" si="8"/>
        <v>Liberica</v>
      </c>
      <c r="S103" t="str">
        <f t="shared" si="9"/>
        <v>Dark</v>
      </c>
      <c r="T103" t="str">
        <f>_xlfn.XLOOKUP(Orders[[#This Row],[Customer ID]],customers!$A$1:$A$1001,customers!$I$1:$I$1001,,0)</f>
        <v>Yes</v>
      </c>
    </row>
    <row r="104" spans="1:20" x14ac:dyDescent="0.35">
      <c r="A104" s="2" t="s">
        <v>1059</v>
      </c>
      <c r="B104" s="3">
        <v>44488</v>
      </c>
      <c r="C104" s="2" t="s">
        <v>1060</v>
      </c>
      <c r="D104" t="s">
        <v>6143</v>
      </c>
      <c r="E104" t="str">
        <f t="shared" si="7"/>
        <v>Liberica-Dark-1</v>
      </c>
      <c r="F104" s="2">
        <v>3</v>
      </c>
      <c r="G104" s="2" t="str" cm="1">
        <f t="array" ref="G104">_xlfn.XLOOKUP(C104, customers!$A$1:A1103,customers!$B$1:B1103,,0)</f>
        <v>Dyanna Aizikovitz</v>
      </c>
      <c r="H104" s="2" t="str" cm="1">
        <f t="array" ref="H104">IF(_xlfn.XLOOKUP(C104,customers!$A$1:A1103,customers!$C$1:C1103,,0) = 0,"", _xlfn.XLOOKUP(C104,customers!$A$1:A1103,customers!$C$1:C1103,,0))</f>
        <v>daizikovitz2u@answers.com</v>
      </c>
      <c r="I104" s="2" t="str">
        <f>_xlfn.XLOOKUP(C104,customers!$A$1:$A$1001,customers!$G$1:$G$1001,,0)</f>
        <v>Ireland</v>
      </c>
      <c r="J104" s="2" t="str">
        <f>_xlfn.XLOOKUP(Orders[[#This Row],[Customer ID]],customers!$A$1:$A$1001,customers!$F$1:$F$1001,,0)</f>
        <v>Leixlip</v>
      </c>
      <c r="K104" t="str">
        <f>INDEX(products!$A$1:$G$49,MATCH(orders!$D104,products!$A$1:$A$49,0),MATCH(orders!K$1,products!$A$1:$G$1,0))</f>
        <v>Lib</v>
      </c>
      <c r="L104" t="str">
        <f>INDEX(products!$A$1:$G$49,MATCH(orders!$D104,products!$A$1:$A$49,0),MATCH(orders!L$1,products!$A$1:$G$1,0))</f>
        <v>D</v>
      </c>
      <c r="M104" s="14">
        <f>INDEX(products!$A$1:$G$49,MATCH(orders!$D104,products!$A$1:$A$49,0),MATCH(orders!M$1,products!$A$1:$G$1,0))</f>
        <v>1</v>
      </c>
      <c r="N104" s="4">
        <f>INDEX(products!$A$1:$G$49,MATCH(orders!$D104,products!$A$1:$A$49,0),MATCH(orders!N$1,products!$A$1:$G$1,0))</f>
        <v>12.95</v>
      </c>
      <c r="O104" s="13">
        <f t="shared" si="5"/>
        <v>38.849999999999994</v>
      </c>
      <c r="P104" s="13">
        <f>_xlfn.XLOOKUP(Orders[[#This Row],[Product ID]],products!$A$1:$A$49,products!$G$1:$G$49,,0)</f>
        <v>1.6835</v>
      </c>
      <c r="Q104" s="13">
        <f t="shared" si="6"/>
        <v>5.0504999999999995</v>
      </c>
      <c r="R104" t="str">
        <f t="shared" si="8"/>
        <v>Liberica</v>
      </c>
      <c r="S104" t="str">
        <f t="shared" si="9"/>
        <v>Dark</v>
      </c>
      <c r="T104" t="str">
        <f>_xlfn.XLOOKUP(Orders[[#This Row],[Customer ID]],customers!$A$1:$A$1001,customers!$I$1:$I$1001,,0)</f>
        <v>Yes</v>
      </c>
    </row>
    <row r="105" spans="1:20" x14ac:dyDescent="0.35">
      <c r="A105" s="2" t="s">
        <v>1065</v>
      </c>
      <c r="B105" s="3">
        <v>44750</v>
      </c>
      <c r="C105" s="2" t="s">
        <v>1066</v>
      </c>
      <c r="D105" t="s">
        <v>6174</v>
      </c>
      <c r="E105" t="str">
        <f t="shared" si="7"/>
        <v>Robusta-Medium-0.2</v>
      </c>
      <c r="F105" s="2">
        <v>4</v>
      </c>
      <c r="G105" s="2" t="str" cm="1">
        <f t="array" ref="G105">_xlfn.XLOOKUP(C105, customers!$A$1:A1104,customers!$B$1:B1104,,0)</f>
        <v>Bram Revel</v>
      </c>
      <c r="H105" s="2" t="str" cm="1">
        <f t="array" ref="H105">IF(_xlfn.XLOOKUP(C105,customers!$A$1:A1104,customers!$C$1:C1104,,0) = 0,"", _xlfn.XLOOKUP(C105,customers!$A$1:A1104,customers!$C$1:C1104,,0))</f>
        <v>brevel2v@fastcompany.com</v>
      </c>
      <c r="I105" s="2" t="str">
        <f>_xlfn.XLOOKUP(C105,customers!$A$1:$A$1001,customers!$G$1:$G$1001,,0)</f>
        <v>United States</v>
      </c>
      <c r="J105" s="2" t="str">
        <f>_xlfn.XLOOKUP(Orders[[#This Row],[Customer ID]],customers!$A$1:$A$1001,customers!$F$1:$F$1001,,0)</f>
        <v>Rochester</v>
      </c>
      <c r="K105" t="str">
        <f>INDEX(products!$A$1:$G$49,MATCH(orders!$D105,products!$A$1:$A$49,0),MATCH(orders!K$1,products!$A$1:$G$1,0))</f>
        <v>Rob</v>
      </c>
      <c r="L105" t="str">
        <f>INDEX(products!$A$1:$G$49,MATCH(orders!$D105,products!$A$1:$A$49,0),MATCH(orders!L$1,products!$A$1:$G$1,0))</f>
        <v>M</v>
      </c>
      <c r="M105" s="14">
        <f>INDEX(products!$A$1:$G$49,MATCH(orders!$D105,products!$A$1:$A$49,0),MATCH(orders!M$1,products!$A$1:$G$1,0))</f>
        <v>0.2</v>
      </c>
      <c r="N105" s="4">
        <f>INDEX(products!$A$1:$G$49,MATCH(orders!$D105,products!$A$1:$A$49,0),MATCH(orders!N$1,products!$A$1:$G$1,0))</f>
        <v>2.9849999999999999</v>
      </c>
      <c r="O105" s="13">
        <f t="shared" si="5"/>
        <v>11.94</v>
      </c>
      <c r="P105" s="13">
        <f>_xlfn.XLOOKUP(Orders[[#This Row],[Product ID]],products!$A$1:$A$49,products!$G$1:$G$49,,0)</f>
        <v>0.17909999999999998</v>
      </c>
      <c r="Q105" s="13">
        <f t="shared" si="6"/>
        <v>0.71639999999999993</v>
      </c>
      <c r="R105" t="str">
        <f t="shared" si="8"/>
        <v>Robusta</v>
      </c>
      <c r="S105" t="str">
        <f t="shared" si="9"/>
        <v>Medium</v>
      </c>
      <c r="T105" t="str">
        <f>_xlfn.XLOOKUP(Orders[[#This Row],[Customer ID]],customers!$A$1:$A$1001,customers!$I$1:$I$1001,,0)</f>
        <v>No</v>
      </c>
    </row>
    <row r="106" spans="1:20" x14ac:dyDescent="0.35">
      <c r="A106" s="2" t="s">
        <v>1071</v>
      </c>
      <c r="B106" s="3">
        <v>43694</v>
      </c>
      <c r="C106" s="2" t="s">
        <v>1072</v>
      </c>
      <c r="D106" t="s">
        <v>6162</v>
      </c>
      <c r="E106" t="str">
        <f t="shared" si="7"/>
        <v>Liberica-Medium-1</v>
      </c>
      <c r="F106" s="2">
        <v>6</v>
      </c>
      <c r="G106" s="2" t="str" cm="1">
        <f t="array" ref="G106">_xlfn.XLOOKUP(C106, customers!$A$1:A1105,customers!$B$1:B1105,,0)</f>
        <v>Emiline Priddis</v>
      </c>
      <c r="H106" s="2" t="str" cm="1">
        <f t="array" ref="H106">IF(_xlfn.XLOOKUP(C106,customers!$A$1:A1105,customers!$C$1:C1105,,0) = 0,"", _xlfn.XLOOKUP(C106,customers!$A$1:A1105,customers!$C$1:C1105,,0))</f>
        <v>epriddis2w@nationalgeographic.com</v>
      </c>
      <c r="I106" s="2" t="str">
        <f>_xlfn.XLOOKUP(C106,customers!$A$1:$A$1001,customers!$G$1:$G$1001,,0)</f>
        <v>United States</v>
      </c>
      <c r="J106" s="2" t="str">
        <f>_xlfn.XLOOKUP(Orders[[#This Row],[Customer ID]],customers!$A$1:$A$1001,customers!$F$1:$F$1001,,0)</f>
        <v>Tuscaloosa</v>
      </c>
      <c r="K106" t="str">
        <f>INDEX(products!$A$1:$G$49,MATCH(orders!$D106,products!$A$1:$A$49,0),MATCH(orders!K$1,products!$A$1:$G$1,0))</f>
        <v>Lib</v>
      </c>
      <c r="L106" t="str">
        <f>INDEX(products!$A$1:$G$49,MATCH(orders!$D106,products!$A$1:$A$49,0),MATCH(orders!L$1,products!$A$1:$G$1,0))</f>
        <v>M</v>
      </c>
      <c r="M106" s="14">
        <f>INDEX(products!$A$1:$G$49,MATCH(orders!$D106,products!$A$1:$A$49,0),MATCH(orders!M$1,products!$A$1:$G$1,0))</f>
        <v>1</v>
      </c>
      <c r="N106" s="4">
        <f>INDEX(products!$A$1:$G$49,MATCH(orders!$D106,products!$A$1:$A$49,0),MATCH(orders!N$1,products!$A$1:$G$1,0))</f>
        <v>14.55</v>
      </c>
      <c r="O106" s="13">
        <f t="shared" si="5"/>
        <v>87.300000000000011</v>
      </c>
      <c r="P106" s="13">
        <f>_xlfn.XLOOKUP(Orders[[#This Row],[Product ID]],products!$A$1:$A$49,products!$G$1:$G$49,,0)</f>
        <v>1.8915000000000002</v>
      </c>
      <c r="Q106" s="13">
        <f t="shared" si="6"/>
        <v>11.349</v>
      </c>
      <c r="R106" t="str">
        <f t="shared" si="8"/>
        <v>Liberica</v>
      </c>
      <c r="S106" t="str">
        <f t="shared" si="9"/>
        <v>Medium</v>
      </c>
      <c r="T106" t="str">
        <f>_xlfn.XLOOKUP(Orders[[#This Row],[Customer ID]],customers!$A$1:$A$1001,customers!$I$1:$I$1001,,0)</f>
        <v>No</v>
      </c>
    </row>
    <row r="107" spans="1:20" x14ac:dyDescent="0.35">
      <c r="A107" s="2" t="s">
        <v>1077</v>
      </c>
      <c r="B107" s="3">
        <v>43982</v>
      </c>
      <c r="C107" s="2" t="s">
        <v>1078</v>
      </c>
      <c r="D107" t="s">
        <v>6157</v>
      </c>
      <c r="E107" t="str">
        <f t="shared" si="7"/>
        <v>Arabica-Medium-0.5</v>
      </c>
      <c r="F107" s="2">
        <v>6</v>
      </c>
      <c r="G107" s="2" t="str" cm="1">
        <f t="array" ref="G107">_xlfn.XLOOKUP(C107, customers!$A$1:A1106,customers!$B$1:B1106,,0)</f>
        <v>Queenie Veel</v>
      </c>
      <c r="H107" s="2" t="str" cm="1">
        <f t="array" ref="H107">IF(_xlfn.XLOOKUP(C107,customers!$A$1:A1106,customers!$C$1:C1106,,0) = 0,"", _xlfn.XLOOKUP(C107,customers!$A$1:A1106,customers!$C$1:C1106,,0))</f>
        <v>qveel2x@jugem.jp</v>
      </c>
      <c r="I107" s="2" t="str">
        <f>_xlfn.XLOOKUP(C107,customers!$A$1:$A$1001,customers!$G$1:$G$1001,,0)</f>
        <v>United States</v>
      </c>
      <c r="J107" s="2" t="str">
        <f>_xlfn.XLOOKUP(Orders[[#This Row],[Customer ID]],customers!$A$1:$A$1001,customers!$F$1:$F$1001,,0)</f>
        <v>Houston</v>
      </c>
      <c r="K107" t="str">
        <f>INDEX(products!$A$1:$G$49,MATCH(orders!$D107,products!$A$1:$A$49,0),MATCH(orders!K$1,products!$A$1:$G$1,0))</f>
        <v>Ara</v>
      </c>
      <c r="L107" t="str">
        <f>INDEX(products!$A$1:$G$49,MATCH(orders!$D107,products!$A$1:$A$49,0),MATCH(orders!L$1,products!$A$1:$G$1,0))</f>
        <v>M</v>
      </c>
      <c r="M107" s="14">
        <f>INDEX(products!$A$1:$G$49,MATCH(orders!$D107,products!$A$1:$A$49,0),MATCH(orders!M$1,products!$A$1:$G$1,0))</f>
        <v>0.5</v>
      </c>
      <c r="N107" s="4">
        <f>INDEX(products!$A$1:$G$49,MATCH(orders!$D107,products!$A$1:$A$49,0),MATCH(orders!N$1,products!$A$1:$G$1,0))</f>
        <v>6.75</v>
      </c>
      <c r="O107" s="13">
        <f t="shared" si="5"/>
        <v>40.5</v>
      </c>
      <c r="P107" s="13">
        <f>_xlfn.XLOOKUP(Orders[[#This Row],[Product ID]],products!$A$1:$A$49,products!$G$1:$G$49,,0)</f>
        <v>0.60749999999999993</v>
      </c>
      <c r="Q107" s="13">
        <f t="shared" si="6"/>
        <v>3.6449999999999996</v>
      </c>
      <c r="R107" t="str">
        <f t="shared" si="8"/>
        <v>Arabica</v>
      </c>
      <c r="S107" t="str">
        <f t="shared" si="9"/>
        <v>Medium</v>
      </c>
      <c r="T107" t="str">
        <f>_xlfn.XLOOKUP(Orders[[#This Row],[Customer ID]],customers!$A$1:$A$1001,customers!$I$1:$I$1001,,0)</f>
        <v>Yes</v>
      </c>
    </row>
    <row r="108" spans="1:20" x14ac:dyDescent="0.35">
      <c r="A108" s="2" t="s">
        <v>1083</v>
      </c>
      <c r="B108" s="3">
        <v>43956</v>
      </c>
      <c r="C108" s="2" t="s">
        <v>1084</v>
      </c>
      <c r="D108" t="s">
        <v>6183</v>
      </c>
      <c r="E108" t="str">
        <f t="shared" si="7"/>
        <v>Excelsa-Dark-1</v>
      </c>
      <c r="F108" s="2">
        <v>2</v>
      </c>
      <c r="G108" s="2" t="str" cm="1">
        <f t="array" ref="G108">_xlfn.XLOOKUP(C108, customers!$A$1:A1107,customers!$B$1:B1107,,0)</f>
        <v>Lind Conyers</v>
      </c>
      <c r="H108" s="2" t="str" cm="1">
        <f t="array" ref="H108">IF(_xlfn.XLOOKUP(C108,customers!$A$1:A1107,customers!$C$1:C1107,,0) = 0,"", _xlfn.XLOOKUP(C108,customers!$A$1:A1107,customers!$C$1:C1107,,0))</f>
        <v>lconyers2y@twitter.com</v>
      </c>
      <c r="I108" s="2" t="str">
        <f>_xlfn.XLOOKUP(C108,customers!$A$1:$A$1001,customers!$G$1:$G$1001,,0)</f>
        <v>United States</v>
      </c>
      <c r="J108" s="2" t="str">
        <f>_xlfn.XLOOKUP(Orders[[#This Row],[Customer ID]],customers!$A$1:$A$1001,customers!$F$1:$F$1001,,0)</f>
        <v>El Paso</v>
      </c>
      <c r="K108" t="str">
        <f>INDEX(products!$A$1:$G$49,MATCH(orders!$D108,products!$A$1:$A$49,0),MATCH(orders!K$1,products!$A$1:$G$1,0))</f>
        <v>Exc</v>
      </c>
      <c r="L108" t="str">
        <f>INDEX(products!$A$1:$G$49,MATCH(orders!$D108,products!$A$1:$A$49,0),MATCH(orders!L$1,products!$A$1:$G$1,0))</f>
        <v>D</v>
      </c>
      <c r="M108" s="14">
        <f>INDEX(products!$A$1:$G$49,MATCH(orders!$D108,products!$A$1:$A$49,0),MATCH(orders!M$1,products!$A$1:$G$1,0))</f>
        <v>1</v>
      </c>
      <c r="N108" s="4">
        <f>INDEX(products!$A$1:$G$49,MATCH(orders!$D108,products!$A$1:$A$49,0),MATCH(orders!N$1,products!$A$1:$G$1,0))</f>
        <v>12.15</v>
      </c>
      <c r="O108" s="13">
        <f t="shared" si="5"/>
        <v>24.3</v>
      </c>
      <c r="P108" s="13">
        <f>_xlfn.XLOOKUP(Orders[[#This Row],[Product ID]],products!$A$1:$A$49,products!$G$1:$G$49,,0)</f>
        <v>1.3365</v>
      </c>
      <c r="Q108" s="13">
        <f t="shared" si="6"/>
        <v>2.673</v>
      </c>
      <c r="R108" t="str">
        <f t="shared" si="8"/>
        <v>Execelsa</v>
      </c>
      <c r="S108" t="str">
        <f t="shared" si="9"/>
        <v>Dark</v>
      </c>
      <c r="T108" t="str">
        <f>_xlfn.XLOOKUP(Orders[[#This Row],[Customer ID]],customers!$A$1:$A$1001,customers!$I$1:$I$1001,,0)</f>
        <v>No</v>
      </c>
    </row>
    <row r="109" spans="1:20" x14ac:dyDescent="0.35">
      <c r="A109" s="2" t="s">
        <v>1089</v>
      </c>
      <c r="B109" s="3">
        <v>43569</v>
      </c>
      <c r="C109" s="2" t="s">
        <v>1090</v>
      </c>
      <c r="D109" t="s">
        <v>6146</v>
      </c>
      <c r="E109" t="str">
        <f t="shared" si="7"/>
        <v>Robusta-Medium-0.5</v>
      </c>
      <c r="F109" s="2">
        <v>3</v>
      </c>
      <c r="G109" s="2" t="str" cm="1">
        <f t="array" ref="G109">_xlfn.XLOOKUP(C109, customers!$A$1:A1108,customers!$B$1:B1108,,0)</f>
        <v>Pen Wye</v>
      </c>
      <c r="H109" s="2" t="str" cm="1">
        <f t="array" ref="H109">IF(_xlfn.XLOOKUP(C109,customers!$A$1:A1108,customers!$C$1:C1108,,0) = 0,"", _xlfn.XLOOKUP(C109,customers!$A$1:A1108,customers!$C$1:C1108,,0))</f>
        <v>pwye2z@dagondesign.com</v>
      </c>
      <c r="I109" s="2" t="str">
        <f>_xlfn.XLOOKUP(C109,customers!$A$1:$A$1001,customers!$G$1:$G$1001,,0)</f>
        <v>United States</v>
      </c>
      <c r="J109" s="2" t="str">
        <f>_xlfn.XLOOKUP(Orders[[#This Row],[Customer ID]],customers!$A$1:$A$1001,customers!$F$1:$F$1001,,0)</f>
        <v>Colorado Springs</v>
      </c>
      <c r="K109" t="str">
        <f>INDEX(products!$A$1:$G$49,MATCH(orders!$D109,products!$A$1:$A$49,0),MATCH(orders!K$1,products!$A$1:$G$1,0))</f>
        <v>Rob</v>
      </c>
      <c r="L109" t="str">
        <f>INDEX(products!$A$1:$G$49,MATCH(orders!$D109,products!$A$1:$A$49,0),MATCH(orders!L$1,products!$A$1:$G$1,0))</f>
        <v>M</v>
      </c>
      <c r="M109" s="14">
        <f>INDEX(products!$A$1:$G$49,MATCH(orders!$D109,products!$A$1:$A$49,0),MATCH(orders!M$1,products!$A$1:$G$1,0))</f>
        <v>0.5</v>
      </c>
      <c r="N109" s="4">
        <f>INDEX(products!$A$1:$G$49,MATCH(orders!$D109,products!$A$1:$A$49,0),MATCH(orders!N$1,products!$A$1:$G$1,0))</f>
        <v>5.97</v>
      </c>
      <c r="O109" s="13">
        <f t="shared" si="5"/>
        <v>17.91</v>
      </c>
      <c r="P109" s="13">
        <f>_xlfn.XLOOKUP(Orders[[#This Row],[Product ID]],products!$A$1:$A$49,products!$G$1:$G$49,,0)</f>
        <v>0.35819999999999996</v>
      </c>
      <c r="Q109" s="13">
        <f t="shared" si="6"/>
        <v>1.0745999999999998</v>
      </c>
      <c r="R109" t="str">
        <f t="shared" si="8"/>
        <v>Robusta</v>
      </c>
      <c r="S109" t="str">
        <f t="shared" si="9"/>
        <v>Medium</v>
      </c>
      <c r="T109" t="str">
        <f>_xlfn.XLOOKUP(Orders[[#This Row],[Customer ID]],customers!$A$1:$A$1001,customers!$I$1:$I$1001,,0)</f>
        <v>Yes</v>
      </c>
    </row>
    <row r="110" spans="1:20" x14ac:dyDescent="0.35">
      <c r="A110" s="2" t="s">
        <v>1095</v>
      </c>
      <c r="B110" s="3">
        <v>44041</v>
      </c>
      <c r="C110" s="2" t="s">
        <v>1096</v>
      </c>
      <c r="D110" t="s">
        <v>6157</v>
      </c>
      <c r="E110" t="str">
        <f t="shared" si="7"/>
        <v>Arabica-Medium-0.5</v>
      </c>
      <c r="F110" s="2">
        <v>4</v>
      </c>
      <c r="G110" s="2" t="str" cm="1">
        <f t="array" ref="G110">_xlfn.XLOOKUP(C110, customers!$A$1:A1109,customers!$B$1:B1109,,0)</f>
        <v>Isahella Hagland</v>
      </c>
      <c r="H110" s="2" t="str" cm="1">
        <f t="array" ref="H110">IF(_xlfn.XLOOKUP(C110,customers!$A$1:A1109,customers!$C$1:C1109,,0) = 0,"", _xlfn.XLOOKUP(C110,customers!$A$1:A1109,customers!$C$1:C1109,,0))</f>
        <v/>
      </c>
      <c r="I110" s="2" t="str">
        <f>_xlfn.XLOOKUP(C110,customers!$A$1:$A$1001,customers!$G$1:$G$1001,,0)</f>
        <v>United States</v>
      </c>
      <c r="J110" s="2" t="str">
        <f>_xlfn.XLOOKUP(Orders[[#This Row],[Customer ID]],customers!$A$1:$A$1001,customers!$F$1:$F$1001,,0)</f>
        <v>Fort Wayne</v>
      </c>
      <c r="K110" t="str">
        <f>INDEX(products!$A$1:$G$49,MATCH(orders!$D110,products!$A$1:$A$49,0),MATCH(orders!K$1,products!$A$1:$G$1,0))</f>
        <v>Ara</v>
      </c>
      <c r="L110" t="str">
        <f>INDEX(products!$A$1:$G$49,MATCH(orders!$D110,products!$A$1:$A$49,0),MATCH(orders!L$1,products!$A$1:$G$1,0))</f>
        <v>M</v>
      </c>
      <c r="M110" s="14">
        <f>INDEX(products!$A$1:$G$49,MATCH(orders!$D110,products!$A$1:$A$49,0),MATCH(orders!M$1,products!$A$1:$G$1,0))</f>
        <v>0.5</v>
      </c>
      <c r="N110" s="4">
        <f>INDEX(products!$A$1:$G$49,MATCH(orders!$D110,products!$A$1:$A$49,0),MATCH(orders!N$1,products!$A$1:$G$1,0))</f>
        <v>6.75</v>
      </c>
      <c r="O110" s="13">
        <f t="shared" si="5"/>
        <v>27</v>
      </c>
      <c r="P110" s="13">
        <f>_xlfn.XLOOKUP(Orders[[#This Row],[Product ID]],products!$A$1:$A$49,products!$G$1:$G$49,,0)</f>
        <v>0.60749999999999993</v>
      </c>
      <c r="Q110" s="13">
        <f t="shared" si="6"/>
        <v>2.4299999999999997</v>
      </c>
      <c r="R110" t="str">
        <f t="shared" si="8"/>
        <v>Arabica</v>
      </c>
      <c r="S110" t="str">
        <f t="shared" si="9"/>
        <v>Medium</v>
      </c>
      <c r="T110" t="str">
        <f>_xlfn.XLOOKUP(Orders[[#This Row],[Customer ID]],customers!$A$1:$A$1001,customers!$I$1:$I$1001,,0)</f>
        <v>No</v>
      </c>
    </row>
    <row r="111" spans="1:20" x14ac:dyDescent="0.35">
      <c r="A111" s="2" t="s">
        <v>1100</v>
      </c>
      <c r="B111" s="3">
        <v>43811</v>
      </c>
      <c r="C111" s="2" t="s">
        <v>1101</v>
      </c>
      <c r="D111" t="s">
        <v>6169</v>
      </c>
      <c r="E111" t="str">
        <f t="shared" si="7"/>
        <v>Liberica-Dark-0.5</v>
      </c>
      <c r="F111" s="2">
        <v>1</v>
      </c>
      <c r="G111" s="2" t="str" cm="1">
        <f t="array" ref="G111">_xlfn.XLOOKUP(C111, customers!$A$1:A1110,customers!$B$1:B1110,,0)</f>
        <v>Terry Sheryn</v>
      </c>
      <c r="H111" s="2" t="str" cm="1">
        <f t="array" ref="H111">IF(_xlfn.XLOOKUP(C111,customers!$A$1:A1110,customers!$C$1:C1110,,0) = 0,"", _xlfn.XLOOKUP(C111,customers!$A$1:A1110,customers!$C$1:C1110,,0))</f>
        <v>tsheryn31@mtv.com</v>
      </c>
      <c r="I111" s="2" t="str">
        <f>_xlfn.XLOOKUP(C111,customers!$A$1:$A$1001,customers!$G$1:$G$1001,,0)</f>
        <v>United States</v>
      </c>
      <c r="J111" s="2" t="str">
        <f>_xlfn.XLOOKUP(Orders[[#This Row],[Customer ID]],customers!$A$1:$A$1001,customers!$F$1:$F$1001,,0)</f>
        <v>Port Washington</v>
      </c>
      <c r="K111" t="str">
        <f>INDEX(products!$A$1:$G$49,MATCH(orders!$D111,products!$A$1:$A$49,0),MATCH(orders!K$1,products!$A$1:$G$1,0))</f>
        <v>Lib</v>
      </c>
      <c r="L111" t="str">
        <f>INDEX(products!$A$1:$G$49,MATCH(orders!$D111,products!$A$1:$A$49,0),MATCH(orders!L$1,products!$A$1:$G$1,0))</f>
        <v>D</v>
      </c>
      <c r="M111" s="14">
        <f>INDEX(products!$A$1:$G$49,MATCH(orders!$D111,products!$A$1:$A$49,0),MATCH(orders!M$1,products!$A$1:$G$1,0))</f>
        <v>0.5</v>
      </c>
      <c r="N111" s="4">
        <f>INDEX(products!$A$1:$G$49,MATCH(orders!$D111,products!$A$1:$A$49,0),MATCH(orders!N$1,products!$A$1:$G$1,0))</f>
        <v>7.77</v>
      </c>
      <c r="O111" s="13">
        <f t="shared" si="5"/>
        <v>7.77</v>
      </c>
      <c r="P111" s="13">
        <f>_xlfn.XLOOKUP(Orders[[#This Row],[Product ID]],products!$A$1:$A$49,products!$G$1:$G$49,,0)</f>
        <v>1.0101</v>
      </c>
      <c r="Q111" s="13">
        <f t="shared" si="6"/>
        <v>1.0101</v>
      </c>
      <c r="R111" t="str">
        <f t="shared" si="8"/>
        <v>Liberica</v>
      </c>
      <c r="S111" t="str">
        <f t="shared" si="9"/>
        <v>Dark</v>
      </c>
      <c r="T111" t="str">
        <f>_xlfn.XLOOKUP(Orders[[#This Row],[Customer ID]],customers!$A$1:$A$1001,customers!$I$1:$I$1001,,0)</f>
        <v>Yes</v>
      </c>
    </row>
    <row r="112" spans="1:20" x14ac:dyDescent="0.35">
      <c r="A112" s="2" t="s">
        <v>1106</v>
      </c>
      <c r="B112" s="3">
        <v>44727</v>
      </c>
      <c r="C112" s="2" t="s">
        <v>1107</v>
      </c>
      <c r="D112" t="s">
        <v>6184</v>
      </c>
      <c r="E112" t="str">
        <f t="shared" si="7"/>
        <v>Excelsa-Light-0.2</v>
      </c>
      <c r="F112" s="2">
        <v>3</v>
      </c>
      <c r="G112" s="2" t="str" cm="1">
        <f t="array" ref="G112">_xlfn.XLOOKUP(C112, customers!$A$1:A1111,customers!$B$1:B1111,,0)</f>
        <v>Marie-jeanne Redgrave</v>
      </c>
      <c r="H112" s="2" t="str" cm="1">
        <f t="array" ref="H112">IF(_xlfn.XLOOKUP(C112,customers!$A$1:A1111,customers!$C$1:C1111,,0) = 0,"", _xlfn.XLOOKUP(C112,customers!$A$1:A1111,customers!$C$1:C1111,,0))</f>
        <v>mredgrave32@cargocollective.com</v>
      </c>
      <c r="I112" s="2" t="str">
        <f>_xlfn.XLOOKUP(C112,customers!$A$1:$A$1001,customers!$G$1:$G$1001,,0)</f>
        <v>United States</v>
      </c>
      <c r="J112" s="2" t="str">
        <f>_xlfn.XLOOKUP(Orders[[#This Row],[Customer ID]],customers!$A$1:$A$1001,customers!$F$1:$F$1001,,0)</f>
        <v>Springfield</v>
      </c>
      <c r="K112" t="str">
        <f>INDEX(products!$A$1:$G$49,MATCH(orders!$D112,products!$A$1:$A$49,0),MATCH(orders!K$1,products!$A$1:$G$1,0))</f>
        <v>Exc</v>
      </c>
      <c r="L112" t="str">
        <f>INDEX(products!$A$1:$G$49,MATCH(orders!$D112,products!$A$1:$A$49,0),MATCH(orders!L$1,products!$A$1:$G$1,0))</f>
        <v>L</v>
      </c>
      <c r="M112" s="14">
        <f>INDEX(products!$A$1:$G$49,MATCH(orders!$D112,products!$A$1:$A$49,0),MATCH(orders!M$1,products!$A$1:$G$1,0))</f>
        <v>0.2</v>
      </c>
      <c r="N112" s="4">
        <f>INDEX(products!$A$1:$G$49,MATCH(orders!$D112,products!$A$1:$A$49,0),MATCH(orders!N$1,products!$A$1:$G$1,0))</f>
        <v>4.4550000000000001</v>
      </c>
      <c r="O112" s="13">
        <f t="shared" si="5"/>
        <v>13.365</v>
      </c>
      <c r="P112" s="13">
        <f>_xlfn.XLOOKUP(Orders[[#This Row],[Product ID]],products!$A$1:$A$49,products!$G$1:$G$49,,0)</f>
        <v>0.49004999999999999</v>
      </c>
      <c r="Q112" s="13">
        <f t="shared" si="6"/>
        <v>1.4701499999999998</v>
      </c>
      <c r="R112" t="str">
        <f t="shared" si="8"/>
        <v>Execelsa</v>
      </c>
      <c r="S112" t="str">
        <f t="shared" si="9"/>
        <v>Light</v>
      </c>
      <c r="T112" t="str">
        <f>_xlfn.XLOOKUP(Orders[[#This Row],[Customer ID]],customers!$A$1:$A$1001,customers!$I$1:$I$1001,,0)</f>
        <v>Yes</v>
      </c>
    </row>
    <row r="113" spans="1:20" x14ac:dyDescent="0.35">
      <c r="A113" s="2" t="s">
        <v>1112</v>
      </c>
      <c r="B113" s="3">
        <v>43642</v>
      </c>
      <c r="C113" s="2" t="s">
        <v>1113</v>
      </c>
      <c r="D113" t="s">
        <v>6172</v>
      </c>
      <c r="E113" t="str">
        <f t="shared" si="7"/>
        <v>Robusta-Dark-0.5</v>
      </c>
      <c r="F113" s="2">
        <v>5</v>
      </c>
      <c r="G113" s="2" t="str" cm="1">
        <f t="array" ref="G113">_xlfn.XLOOKUP(C113, customers!$A$1:A1112,customers!$B$1:B1112,,0)</f>
        <v>Betty Fominov</v>
      </c>
      <c r="H113" s="2" t="str" cm="1">
        <f t="array" ref="H113">IF(_xlfn.XLOOKUP(C113,customers!$A$1:A1112,customers!$C$1:C1112,,0) = 0,"", _xlfn.XLOOKUP(C113,customers!$A$1:A1112,customers!$C$1:C1112,,0))</f>
        <v>bfominov33@yale.edu</v>
      </c>
      <c r="I113" s="2" t="str">
        <f>_xlfn.XLOOKUP(C113,customers!$A$1:$A$1001,customers!$G$1:$G$1001,,0)</f>
        <v>United States</v>
      </c>
      <c r="J113" s="2" t="str">
        <f>_xlfn.XLOOKUP(Orders[[#This Row],[Customer ID]],customers!$A$1:$A$1001,customers!$F$1:$F$1001,,0)</f>
        <v>Pensacola</v>
      </c>
      <c r="K113" t="str">
        <f>INDEX(products!$A$1:$G$49,MATCH(orders!$D113,products!$A$1:$A$49,0),MATCH(orders!K$1,products!$A$1:$G$1,0))</f>
        <v>Rob</v>
      </c>
      <c r="L113" t="str">
        <f>INDEX(products!$A$1:$G$49,MATCH(orders!$D113,products!$A$1:$A$49,0),MATCH(orders!L$1,products!$A$1:$G$1,0))</f>
        <v>D</v>
      </c>
      <c r="M113" s="14">
        <f>INDEX(products!$A$1:$G$49,MATCH(orders!$D113,products!$A$1:$A$49,0),MATCH(orders!M$1,products!$A$1:$G$1,0))</f>
        <v>0.5</v>
      </c>
      <c r="N113" s="4">
        <f>INDEX(products!$A$1:$G$49,MATCH(orders!$D113,products!$A$1:$A$49,0),MATCH(orders!N$1,products!$A$1:$G$1,0))</f>
        <v>5.3699999999999992</v>
      </c>
      <c r="O113" s="13">
        <f t="shared" si="5"/>
        <v>26.849999999999994</v>
      </c>
      <c r="P113" s="13">
        <f>_xlfn.XLOOKUP(Orders[[#This Row],[Product ID]],products!$A$1:$A$49,products!$G$1:$G$49,,0)</f>
        <v>0.32219999999999993</v>
      </c>
      <c r="Q113" s="13">
        <f t="shared" si="6"/>
        <v>1.6109999999999998</v>
      </c>
      <c r="R113" t="str">
        <f t="shared" si="8"/>
        <v>Robusta</v>
      </c>
      <c r="S113" t="str">
        <f t="shared" si="9"/>
        <v>Dark</v>
      </c>
      <c r="T113" t="str">
        <f>_xlfn.XLOOKUP(Orders[[#This Row],[Customer ID]],customers!$A$1:$A$1001,customers!$I$1:$I$1001,,0)</f>
        <v>No</v>
      </c>
    </row>
    <row r="114" spans="1:20" x14ac:dyDescent="0.35">
      <c r="A114" s="2" t="s">
        <v>1117</v>
      </c>
      <c r="B114" s="3">
        <v>44481</v>
      </c>
      <c r="C114" s="2" t="s">
        <v>1118</v>
      </c>
      <c r="D114" t="s">
        <v>6155</v>
      </c>
      <c r="E114" t="str">
        <f t="shared" si="7"/>
        <v>Arabica-Medium-1</v>
      </c>
      <c r="F114" s="2">
        <v>1</v>
      </c>
      <c r="G114" s="2" t="str" cm="1">
        <f t="array" ref="G114">_xlfn.XLOOKUP(C114, customers!$A$1:A1113,customers!$B$1:B1113,,0)</f>
        <v>Shawnee Critchlow</v>
      </c>
      <c r="H114" s="2" t="str" cm="1">
        <f t="array" ref="H114">IF(_xlfn.XLOOKUP(C114,customers!$A$1:A1113,customers!$C$1:C1113,,0) = 0,"", _xlfn.XLOOKUP(C114,customers!$A$1:A1113,customers!$C$1:C1113,,0))</f>
        <v>scritchlow34@un.org</v>
      </c>
      <c r="I114" s="2" t="str">
        <f>_xlfn.XLOOKUP(C114,customers!$A$1:$A$1001,customers!$G$1:$G$1001,,0)</f>
        <v>United States</v>
      </c>
      <c r="J114" s="2" t="str">
        <f>_xlfn.XLOOKUP(Orders[[#This Row],[Customer ID]],customers!$A$1:$A$1001,customers!$F$1:$F$1001,,0)</f>
        <v>Richmond</v>
      </c>
      <c r="K114" t="str">
        <f>INDEX(products!$A$1:$G$49,MATCH(orders!$D114,products!$A$1:$A$49,0),MATCH(orders!K$1,products!$A$1:$G$1,0))</f>
        <v>Ara</v>
      </c>
      <c r="L114" t="str">
        <f>INDEX(products!$A$1:$G$49,MATCH(orders!$D114,products!$A$1:$A$49,0),MATCH(orders!L$1,products!$A$1:$G$1,0))</f>
        <v>M</v>
      </c>
      <c r="M114" s="14">
        <f>INDEX(products!$A$1:$G$49,MATCH(orders!$D114,products!$A$1:$A$49,0),MATCH(orders!M$1,products!$A$1:$G$1,0))</f>
        <v>1</v>
      </c>
      <c r="N114" s="4">
        <f>INDEX(products!$A$1:$G$49,MATCH(orders!$D114,products!$A$1:$A$49,0),MATCH(orders!N$1,products!$A$1:$G$1,0))</f>
        <v>11.25</v>
      </c>
      <c r="O114" s="13">
        <f t="shared" si="5"/>
        <v>11.25</v>
      </c>
      <c r="P114" s="13">
        <f>_xlfn.XLOOKUP(Orders[[#This Row],[Product ID]],products!$A$1:$A$49,products!$G$1:$G$49,,0)</f>
        <v>1.0125</v>
      </c>
      <c r="Q114" s="13">
        <f t="shared" si="6"/>
        <v>1.0125</v>
      </c>
      <c r="R114" t="str">
        <f t="shared" si="8"/>
        <v>Arabica</v>
      </c>
      <c r="S114" t="str">
        <f t="shared" si="9"/>
        <v>Medium</v>
      </c>
      <c r="T114" t="str">
        <f>_xlfn.XLOOKUP(Orders[[#This Row],[Customer ID]],customers!$A$1:$A$1001,customers!$I$1:$I$1001,,0)</f>
        <v>No</v>
      </c>
    </row>
    <row r="115" spans="1:20" x14ac:dyDescent="0.35">
      <c r="A115" s="2" t="s">
        <v>1123</v>
      </c>
      <c r="B115" s="3">
        <v>43556</v>
      </c>
      <c r="C115" s="2" t="s">
        <v>1124</v>
      </c>
      <c r="D115" t="s">
        <v>6162</v>
      </c>
      <c r="E115" t="str">
        <f t="shared" si="7"/>
        <v>Liberica-Medium-1</v>
      </c>
      <c r="F115" s="2">
        <v>1</v>
      </c>
      <c r="G115" s="2" t="str" cm="1">
        <f t="array" ref="G115">_xlfn.XLOOKUP(C115, customers!$A$1:A1114,customers!$B$1:B1114,,0)</f>
        <v>Merrel Steptow</v>
      </c>
      <c r="H115" s="2" t="str" cm="1">
        <f t="array" ref="H115">IF(_xlfn.XLOOKUP(C115,customers!$A$1:A1114,customers!$C$1:C1114,,0) = 0,"", _xlfn.XLOOKUP(C115,customers!$A$1:A1114,customers!$C$1:C1114,,0))</f>
        <v>msteptow35@earthlink.net</v>
      </c>
      <c r="I115" s="2" t="str">
        <f>_xlfn.XLOOKUP(C115,customers!$A$1:$A$1001,customers!$G$1:$G$1001,,0)</f>
        <v>Ireland</v>
      </c>
      <c r="J115" s="2" t="str">
        <f>_xlfn.XLOOKUP(Orders[[#This Row],[Customer ID]],customers!$A$1:$A$1001,customers!$F$1:$F$1001,,0)</f>
        <v>Cherryville</v>
      </c>
      <c r="K115" t="str">
        <f>INDEX(products!$A$1:$G$49,MATCH(orders!$D115,products!$A$1:$A$49,0),MATCH(orders!K$1,products!$A$1:$G$1,0))</f>
        <v>Lib</v>
      </c>
      <c r="L115" t="str">
        <f>INDEX(products!$A$1:$G$49,MATCH(orders!$D115,products!$A$1:$A$49,0),MATCH(orders!L$1,products!$A$1:$G$1,0))</f>
        <v>M</v>
      </c>
      <c r="M115" s="14">
        <f>INDEX(products!$A$1:$G$49,MATCH(orders!$D115,products!$A$1:$A$49,0),MATCH(orders!M$1,products!$A$1:$G$1,0))</f>
        <v>1</v>
      </c>
      <c r="N115" s="4">
        <f>INDEX(products!$A$1:$G$49,MATCH(orders!$D115,products!$A$1:$A$49,0),MATCH(orders!N$1,products!$A$1:$G$1,0))</f>
        <v>14.55</v>
      </c>
      <c r="O115" s="13">
        <f t="shared" si="5"/>
        <v>14.55</v>
      </c>
      <c r="P115" s="13">
        <f>_xlfn.XLOOKUP(Orders[[#This Row],[Product ID]],products!$A$1:$A$49,products!$G$1:$G$49,,0)</f>
        <v>1.8915000000000002</v>
      </c>
      <c r="Q115" s="13">
        <f t="shared" si="6"/>
        <v>1.8915000000000002</v>
      </c>
      <c r="R115" t="str">
        <f t="shared" si="8"/>
        <v>Liberica</v>
      </c>
      <c r="S115" t="str">
        <f t="shared" si="9"/>
        <v>Medium</v>
      </c>
      <c r="T115" t="str">
        <f>_xlfn.XLOOKUP(Orders[[#This Row],[Customer ID]],customers!$A$1:$A$1001,customers!$I$1:$I$1001,,0)</f>
        <v>No</v>
      </c>
    </row>
    <row r="116" spans="1:20" x14ac:dyDescent="0.35">
      <c r="A116" s="2" t="s">
        <v>1129</v>
      </c>
      <c r="B116" s="3">
        <v>44265</v>
      </c>
      <c r="C116" s="2" t="s">
        <v>1130</v>
      </c>
      <c r="D116" t="s">
        <v>6178</v>
      </c>
      <c r="E116" t="str">
        <f t="shared" si="7"/>
        <v>Robusta-Light-0.2</v>
      </c>
      <c r="F116" s="2">
        <v>4</v>
      </c>
      <c r="G116" s="2" t="str" cm="1">
        <f t="array" ref="G116">_xlfn.XLOOKUP(C116, customers!$A$1:A1115,customers!$B$1:B1115,,0)</f>
        <v>Carmina Hubbuck</v>
      </c>
      <c r="H116" s="2" t="str" cm="1">
        <f t="array" ref="H116">IF(_xlfn.XLOOKUP(C116,customers!$A$1:A1115,customers!$C$1:C1115,,0) = 0,"", _xlfn.XLOOKUP(C116,customers!$A$1:A1115,customers!$C$1:C1115,,0))</f>
        <v/>
      </c>
      <c r="I116" s="2" t="str">
        <f>_xlfn.XLOOKUP(C116,customers!$A$1:$A$1001,customers!$G$1:$G$1001,,0)</f>
        <v>United States</v>
      </c>
      <c r="J116" s="2" t="str">
        <f>_xlfn.XLOOKUP(Orders[[#This Row],[Customer ID]],customers!$A$1:$A$1001,customers!$F$1:$F$1001,,0)</f>
        <v>Huntington</v>
      </c>
      <c r="K116" t="str">
        <f>INDEX(products!$A$1:$G$49,MATCH(orders!$D116,products!$A$1:$A$49,0),MATCH(orders!K$1,products!$A$1:$G$1,0))</f>
        <v>Rob</v>
      </c>
      <c r="L116" t="str">
        <f>INDEX(products!$A$1:$G$49,MATCH(orders!$D116,products!$A$1:$A$49,0),MATCH(orders!L$1,products!$A$1:$G$1,0))</f>
        <v>L</v>
      </c>
      <c r="M116" s="14">
        <f>INDEX(products!$A$1:$G$49,MATCH(orders!$D116,products!$A$1:$A$49,0),MATCH(orders!M$1,products!$A$1:$G$1,0))</f>
        <v>0.2</v>
      </c>
      <c r="N116" s="4">
        <f>INDEX(products!$A$1:$G$49,MATCH(orders!$D116,products!$A$1:$A$49,0),MATCH(orders!N$1,products!$A$1:$G$1,0))</f>
        <v>3.5849999999999995</v>
      </c>
      <c r="O116" s="13">
        <f t="shared" si="5"/>
        <v>14.339999999999998</v>
      </c>
      <c r="P116" s="13">
        <f>_xlfn.XLOOKUP(Orders[[#This Row],[Product ID]],products!$A$1:$A$49,products!$G$1:$G$49,,0)</f>
        <v>0.21509999999999996</v>
      </c>
      <c r="Q116" s="13">
        <f t="shared" si="6"/>
        <v>0.86039999999999983</v>
      </c>
      <c r="R116" t="str">
        <f t="shared" si="8"/>
        <v>Robusta</v>
      </c>
      <c r="S116" t="str">
        <f t="shared" si="9"/>
        <v>Light</v>
      </c>
      <c r="T116" t="str">
        <f>_xlfn.XLOOKUP(Orders[[#This Row],[Customer ID]],customers!$A$1:$A$1001,customers!$I$1:$I$1001,,0)</f>
        <v>No</v>
      </c>
    </row>
    <row r="117" spans="1:20" x14ac:dyDescent="0.35">
      <c r="A117" s="2" t="s">
        <v>1134</v>
      </c>
      <c r="B117" s="3">
        <v>43693</v>
      </c>
      <c r="C117" s="2" t="s">
        <v>1135</v>
      </c>
      <c r="D117" t="s">
        <v>6170</v>
      </c>
      <c r="E117" t="str">
        <f t="shared" si="7"/>
        <v>Liberica-Light-1</v>
      </c>
      <c r="F117" s="2">
        <v>1</v>
      </c>
      <c r="G117" s="2" t="str" cm="1">
        <f t="array" ref="G117">_xlfn.XLOOKUP(C117, customers!$A$1:A1116,customers!$B$1:B1116,,0)</f>
        <v>Ingeberg Mulliner</v>
      </c>
      <c r="H117" s="2" t="str" cm="1">
        <f t="array" ref="H117">IF(_xlfn.XLOOKUP(C117,customers!$A$1:A1116,customers!$C$1:C1116,,0) = 0,"", _xlfn.XLOOKUP(C117,customers!$A$1:A1116,customers!$C$1:C1116,,0))</f>
        <v>imulliner37@pinterest.com</v>
      </c>
      <c r="I117" s="2" t="str">
        <f>_xlfn.XLOOKUP(C117,customers!$A$1:$A$1001,customers!$G$1:$G$1001,,0)</f>
        <v>United Kingdom</v>
      </c>
      <c r="J117" s="2" t="str">
        <f>_xlfn.XLOOKUP(Orders[[#This Row],[Customer ID]],customers!$A$1:$A$1001,customers!$F$1:$F$1001,,0)</f>
        <v>Birmingham</v>
      </c>
      <c r="K117" t="str">
        <f>INDEX(products!$A$1:$G$49,MATCH(orders!$D117,products!$A$1:$A$49,0),MATCH(orders!K$1,products!$A$1:$G$1,0))</f>
        <v>Lib</v>
      </c>
      <c r="L117" t="str">
        <f>INDEX(products!$A$1:$G$49,MATCH(orders!$D117,products!$A$1:$A$49,0),MATCH(orders!L$1,products!$A$1:$G$1,0))</f>
        <v>L</v>
      </c>
      <c r="M117" s="14">
        <f>INDEX(products!$A$1:$G$49,MATCH(orders!$D117,products!$A$1:$A$49,0),MATCH(orders!M$1,products!$A$1:$G$1,0))</f>
        <v>1</v>
      </c>
      <c r="N117" s="4">
        <f>INDEX(products!$A$1:$G$49,MATCH(orders!$D117,products!$A$1:$A$49,0),MATCH(orders!N$1,products!$A$1:$G$1,0))</f>
        <v>15.85</v>
      </c>
      <c r="O117" s="13">
        <f t="shared" si="5"/>
        <v>15.85</v>
      </c>
      <c r="P117" s="13">
        <f>_xlfn.XLOOKUP(Orders[[#This Row],[Product ID]],products!$A$1:$A$49,products!$G$1:$G$49,,0)</f>
        <v>2.0605000000000002</v>
      </c>
      <c r="Q117" s="13">
        <f t="shared" si="6"/>
        <v>2.0605000000000002</v>
      </c>
      <c r="R117" t="str">
        <f t="shared" si="8"/>
        <v>Liberica</v>
      </c>
      <c r="S117" t="str">
        <f t="shared" si="9"/>
        <v>Light</v>
      </c>
      <c r="T117" t="str">
        <f>_xlfn.XLOOKUP(Orders[[#This Row],[Customer ID]],customers!$A$1:$A$1001,customers!$I$1:$I$1001,,0)</f>
        <v>No</v>
      </c>
    </row>
    <row r="118" spans="1:20" x14ac:dyDescent="0.35">
      <c r="A118" s="2" t="s">
        <v>1140</v>
      </c>
      <c r="B118" s="3">
        <v>44054</v>
      </c>
      <c r="C118" s="2" t="s">
        <v>1141</v>
      </c>
      <c r="D118" t="s">
        <v>6145</v>
      </c>
      <c r="E118" t="str">
        <f t="shared" si="7"/>
        <v>Liberica-Light-0.2</v>
      </c>
      <c r="F118" s="2">
        <v>4</v>
      </c>
      <c r="G118" s="2" t="str" cm="1">
        <f t="array" ref="G118">_xlfn.XLOOKUP(C118, customers!$A$1:A1117,customers!$B$1:B1117,,0)</f>
        <v>Geneva Standley</v>
      </c>
      <c r="H118" s="2" t="str" cm="1">
        <f t="array" ref="H118">IF(_xlfn.XLOOKUP(C118,customers!$A$1:A1117,customers!$C$1:C1117,,0) = 0,"", _xlfn.XLOOKUP(C118,customers!$A$1:A1117,customers!$C$1:C1117,,0))</f>
        <v>gstandley38@dion.ne.jp</v>
      </c>
      <c r="I118" s="2" t="str">
        <f>_xlfn.XLOOKUP(C118,customers!$A$1:$A$1001,customers!$G$1:$G$1001,,0)</f>
        <v>Ireland</v>
      </c>
      <c r="J118" s="2" t="str">
        <f>_xlfn.XLOOKUP(Orders[[#This Row],[Customer ID]],customers!$A$1:$A$1001,customers!$F$1:$F$1001,,0)</f>
        <v>Killorglin</v>
      </c>
      <c r="K118" t="str">
        <f>INDEX(products!$A$1:$G$49,MATCH(orders!$D118,products!$A$1:$A$49,0),MATCH(orders!K$1,products!$A$1:$G$1,0))</f>
        <v>Lib</v>
      </c>
      <c r="L118" t="str">
        <f>INDEX(products!$A$1:$G$49,MATCH(orders!$D118,products!$A$1:$A$49,0),MATCH(orders!L$1,products!$A$1:$G$1,0))</f>
        <v>L</v>
      </c>
      <c r="M118" s="14">
        <f>INDEX(products!$A$1:$G$49,MATCH(orders!$D118,products!$A$1:$A$49,0),MATCH(orders!M$1,products!$A$1:$G$1,0))</f>
        <v>0.2</v>
      </c>
      <c r="N118" s="4">
        <f>INDEX(products!$A$1:$G$49,MATCH(orders!$D118,products!$A$1:$A$49,0),MATCH(orders!N$1,products!$A$1:$G$1,0))</f>
        <v>4.7549999999999999</v>
      </c>
      <c r="O118" s="13">
        <f t="shared" si="5"/>
        <v>19.02</v>
      </c>
      <c r="P118" s="13">
        <f>_xlfn.XLOOKUP(Orders[[#This Row],[Product ID]],products!$A$1:$A$49,products!$G$1:$G$49,,0)</f>
        <v>0.61814999999999998</v>
      </c>
      <c r="Q118" s="13">
        <f t="shared" si="6"/>
        <v>2.4725999999999999</v>
      </c>
      <c r="R118" t="str">
        <f t="shared" si="8"/>
        <v>Liberica</v>
      </c>
      <c r="S118" t="str">
        <f t="shared" si="9"/>
        <v>Light</v>
      </c>
      <c r="T118" t="str">
        <f>_xlfn.XLOOKUP(Orders[[#This Row],[Customer ID]],customers!$A$1:$A$1001,customers!$I$1:$I$1001,,0)</f>
        <v>Yes</v>
      </c>
    </row>
    <row r="119" spans="1:20" x14ac:dyDescent="0.35">
      <c r="A119" s="2" t="s">
        <v>1146</v>
      </c>
      <c r="B119" s="3">
        <v>44656</v>
      </c>
      <c r="C119" s="2" t="s">
        <v>1147</v>
      </c>
      <c r="D119" t="s">
        <v>6161</v>
      </c>
      <c r="E119" t="str">
        <f t="shared" si="7"/>
        <v>Liberica-Light-0.5</v>
      </c>
      <c r="F119" s="2">
        <v>4</v>
      </c>
      <c r="G119" s="2" t="str" cm="1">
        <f t="array" ref="G119">_xlfn.XLOOKUP(C119, customers!$A$1:A1118,customers!$B$1:B1118,,0)</f>
        <v>Brook Drage</v>
      </c>
      <c r="H119" s="2" t="str" cm="1">
        <f t="array" ref="H119">IF(_xlfn.XLOOKUP(C119,customers!$A$1:A1118,customers!$C$1:C1118,,0) = 0,"", _xlfn.XLOOKUP(C119,customers!$A$1:A1118,customers!$C$1:C1118,,0))</f>
        <v>bdrage39@youku.com</v>
      </c>
      <c r="I119" s="2" t="str">
        <f>_xlfn.XLOOKUP(C119,customers!$A$1:$A$1001,customers!$G$1:$G$1001,,0)</f>
        <v>United States</v>
      </c>
      <c r="J119" s="2" t="str">
        <f>_xlfn.XLOOKUP(Orders[[#This Row],[Customer ID]],customers!$A$1:$A$1001,customers!$F$1:$F$1001,,0)</f>
        <v>Dayton</v>
      </c>
      <c r="K119" t="str">
        <f>INDEX(products!$A$1:$G$49,MATCH(orders!$D119,products!$A$1:$A$49,0),MATCH(orders!K$1,products!$A$1:$G$1,0))</f>
        <v>Lib</v>
      </c>
      <c r="L119" t="str">
        <f>INDEX(products!$A$1:$G$49,MATCH(orders!$D119,products!$A$1:$A$49,0),MATCH(orders!L$1,products!$A$1:$G$1,0))</f>
        <v>L</v>
      </c>
      <c r="M119" s="14">
        <f>INDEX(products!$A$1:$G$49,MATCH(orders!$D119,products!$A$1:$A$49,0),MATCH(orders!M$1,products!$A$1:$G$1,0))</f>
        <v>0.5</v>
      </c>
      <c r="N119" s="4">
        <f>INDEX(products!$A$1:$G$49,MATCH(orders!$D119,products!$A$1:$A$49,0),MATCH(orders!N$1,products!$A$1:$G$1,0))</f>
        <v>9.51</v>
      </c>
      <c r="O119" s="13">
        <f t="shared" si="5"/>
        <v>38.04</v>
      </c>
      <c r="P119" s="13">
        <f>_xlfn.XLOOKUP(Orders[[#This Row],[Product ID]],products!$A$1:$A$49,products!$G$1:$G$49,,0)</f>
        <v>1.2363</v>
      </c>
      <c r="Q119" s="13">
        <f t="shared" si="6"/>
        <v>4.9451999999999998</v>
      </c>
      <c r="R119" t="str">
        <f t="shared" si="8"/>
        <v>Liberica</v>
      </c>
      <c r="S119" t="str">
        <f t="shared" si="9"/>
        <v>Light</v>
      </c>
      <c r="T119" t="str">
        <f>_xlfn.XLOOKUP(Orders[[#This Row],[Customer ID]],customers!$A$1:$A$1001,customers!$I$1:$I$1001,,0)</f>
        <v>No</v>
      </c>
    </row>
    <row r="120" spans="1:20" x14ac:dyDescent="0.35">
      <c r="A120" s="2" t="s">
        <v>1152</v>
      </c>
      <c r="B120" s="3">
        <v>43760</v>
      </c>
      <c r="C120" s="2" t="s">
        <v>1153</v>
      </c>
      <c r="D120" t="s">
        <v>6144</v>
      </c>
      <c r="E120" t="str">
        <f t="shared" si="7"/>
        <v>Excelsa-Dark-0.5</v>
      </c>
      <c r="F120" s="2">
        <v>3</v>
      </c>
      <c r="G120" s="2" t="str" cm="1">
        <f t="array" ref="G120">_xlfn.XLOOKUP(C120, customers!$A$1:A1119,customers!$B$1:B1119,,0)</f>
        <v>Muffin Yallop</v>
      </c>
      <c r="H120" s="2" t="str" cm="1">
        <f t="array" ref="H120">IF(_xlfn.XLOOKUP(C120,customers!$A$1:A1119,customers!$C$1:C1119,,0) = 0,"", _xlfn.XLOOKUP(C120,customers!$A$1:A1119,customers!$C$1:C1119,,0))</f>
        <v>myallop3a@fema.gov</v>
      </c>
      <c r="I120" s="2" t="str">
        <f>_xlfn.XLOOKUP(C120,customers!$A$1:$A$1001,customers!$G$1:$G$1001,,0)</f>
        <v>United States</v>
      </c>
      <c r="J120" s="2" t="str">
        <f>_xlfn.XLOOKUP(Orders[[#This Row],[Customer ID]],customers!$A$1:$A$1001,customers!$F$1:$F$1001,,0)</f>
        <v>Anchorage</v>
      </c>
      <c r="K120" t="str">
        <f>INDEX(products!$A$1:$G$49,MATCH(orders!$D120,products!$A$1:$A$49,0),MATCH(orders!K$1,products!$A$1:$G$1,0))</f>
        <v>Exc</v>
      </c>
      <c r="L120" t="str">
        <f>INDEX(products!$A$1:$G$49,MATCH(orders!$D120,products!$A$1:$A$49,0),MATCH(orders!L$1,products!$A$1:$G$1,0))</f>
        <v>D</v>
      </c>
      <c r="M120" s="14">
        <f>INDEX(products!$A$1:$G$49,MATCH(orders!$D120,products!$A$1:$A$49,0),MATCH(orders!M$1,products!$A$1:$G$1,0))</f>
        <v>0.5</v>
      </c>
      <c r="N120" s="4">
        <f>INDEX(products!$A$1:$G$49,MATCH(orders!$D120,products!$A$1:$A$49,0),MATCH(orders!N$1,products!$A$1:$G$1,0))</f>
        <v>7.29</v>
      </c>
      <c r="O120" s="13">
        <f t="shared" si="5"/>
        <v>21.87</v>
      </c>
      <c r="P120" s="13">
        <f>_xlfn.XLOOKUP(Orders[[#This Row],[Product ID]],products!$A$1:$A$49,products!$G$1:$G$49,,0)</f>
        <v>0.80190000000000006</v>
      </c>
      <c r="Q120" s="13">
        <f t="shared" si="6"/>
        <v>2.4057000000000004</v>
      </c>
      <c r="R120" t="str">
        <f t="shared" si="8"/>
        <v>Execelsa</v>
      </c>
      <c r="S120" t="str">
        <f t="shared" si="9"/>
        <v>Dark</v>
      </c>
      <c r="T120" t="str">
        <f>_xlfn.XLOOKUP(Orders[[#This Row],[Customer ID]],customers!$A$1:$A$1001,customers!$I$1:$I$1001,,0)</f>
        <v>Yes</v>
      </c>
    </row>
    <row r="121" spans="1:20" x14ac:dyDescent="0.35">
      <c r="A121" s="2" t="s">
        <v>1158</v>
      </c>
      <c r="B121" s="3">
        <v>44471</v>
      </c>
      <c r="C121" s="2" t="s">
        <v>1159</v>
      </c>
      <c r="D121" t="s">
        <v>6156</v>
      </c>
      <c r="E121" t="str">
        <f t="shared" si="7"/>
        <v>Excelsa-Medium-0.2</v>
      </c>
      <c r="F121" s="2">
        <v>1</v>
      </c>
      <c r="G121" s="2" t="str" cm="1">
        <f t="array" ref="G121">_xlfn.XLOOKUP(C121, customers!$A$1:A1120,customers!$B$1:B1120,,0)</f>
        <v>Cordi Switsur</v>
      </c>
      <c r="H121" s="2" t="str" cm="1">
        <f t="array" ref="H121">IF(_xlfn.XLOOKUP(C121,customers!$A$1:A1120,customers!$C$1:C1120,,0) = 0,"", _xlfn.XLOOKUP(C121,customers!$A$1:A1120,customers!$C$1:C1120,,0))</f>
        <v>cswitsur3b@chronoengine.com</v>
      </c>
      <c r="I121" s="2" t="str">
        <f>_xlfn.XLOOKUP(C121,customers!$A$1:$A$1001,customers!$G$1:$G$1001,,0)</f>
        <v>United States</v>
      </c>
      <c r="J121" s="2" t="str">
        <f>_xlfn.XLOOKUP(Orders[[#This Row],[Customer ID]],customers!$A$1:$A$1001,customers!$F$1:$F$1001,,0)</f>
        <v>Nashville</v>
      </c>
      <c r="K121" t="str">
        <f>INDEX(products!$A$1:$G$49,MATCH(orders!$D121,products!$A$1:$A$49,0),MATCH(orders!K$1,products!$A$1:$G$1,0))</f>
        <v>Exc</v>
      </c>
      <c r="L121" t="str">
        <f>INDEX(products!$A$1:$G$49,MATCH(orders!$D121,products!$A$1:$A$49,0),MATCH(orders!L$1,products!$A$1:$G$1,0))</f>
        <v>M</v>
      </c>
      <c r="M121" s="14">
        <f>INDEX(products!$A$1:$G$49,MATCH(orders!$D121,products!$A$1:$A$49,0),MATCH(orders!M$1,products!$A$1:$G$1,0))</f>
        <v>0.2</v>
      </c>
      <c r="N121" s="4">
        <f>INDEX(products!$A$1:$G$49,MATCH(orders!$D121,products!$A$1:$A$49,0),MATCH(orders!N$1,products!$A$1:$G$1,0))</f>
        <v>4.125</v>
      </c>
      <c r="O121" s="13">
        <f t="shared" si="5"/>
        <v>4.125</v>
      </c>
      <c r="P121" s="13">
        <f>_xlfn.XLOOKUP(Orders[[#This Row],[Product ID]],products!$A$1:$A$49,products!$G$1:$G$49,,0)</f>
        <v>0.45374999999999999</v>
      </c>
      <c r="Q121" s="13">
        <f t="shared" si="6"/>
        <v>0.45374999999999999</v>
      </c>
      <c r="R121" t="str">
        <f t="shared" si="8"/>
        <v>Execelsa</v>
      </c>
      <c r="S121" t="str">
        <f t="shared" si="9"/>
        <v>Medium</v>
      </c>
      <c r="T121" t="str">
        <f>_xlfn.XLOOKUP(Orders[[#This Row],[Customer ID]],customers!$A$1:$A$1001,customers!$I$1:$I$1001,,0)</f>
        <v>No</v>
      </c>
    </row>
    <row r="122" spans="1:20" x14ac:dyDescent="0.35">
      <c r="A122" s="2" t="s">
        <v>1158</v>
      </c>
      <c r="B122" s="3">
        <v>44471</v>
      </c>
      <c r="C122" s="2" t="s">
        <v>1159</v>
      </c>
      <c r="D122" t="s">
        <v>6167</v>
      </c>
      <c r="E122" t="str">
        <f t="shared" si="7"/>
        <v>Arabica-Light-0.2</v>
      </c>
      <c r="F122" s="2">
        <v>1</v>
      </c>
      <c r="G122" s="2" t="str" cm="1">
        <f t="array" ref="G122">_xlfn.XLOOKUP(C122, customers!$A$1:A1121,customers!$B$1:B1121,,0)</f>
        <v>Cordi Switsur</v>
      </c>
      <c r="H122" s="2" t="str" cm="1">
        <f t="array" ref="H122">IF(_xlfn.XLOOKUP(C122,customers!$A$1:A1121,customers!$C$1:C1121,,0) = 0,"", _xlfn.XLOOKUP(C122,customers!$A$1:A1121,customers!$C$1:C1121,,0))</f>
        <v>cswitsur3b@chronoengine.com</v>
      </c>
      <c r="I122" s="2" t="str">
        <f>_xlfn.XLOOKUP(C122,customers!$A$1:$A$1001,customers!$G$1:$G$1001,,0)</f>
        <v>United States</v>
      </c>
      <c r="J122" s="2" t="str">
        <f>_xlfn.XLOOKUP(Orders[[#This Row],[Customer ID]],customers!$A$1:$A$1001,customers!$F$1:$F$1001,,0)</f>
        <v>Nashville</v>
      </c>
      <c r="K122" t="str">
        <f>INDEX(products!$A$1:$G$49,MATCH(orders!$D122,products!$A$1:$A$49,0),MATCH(orders!K$1,products!$A$1:$G$1,0))</f>
        <v>Ara</v>
      </c>
      <c r="L122" t="str">
        <f>INDEX(products!$A$1:$G$49,MATCH(orders!$D122,products!$A$1:$A$49,0),MATCH(orders!L$1,products!$A$1:$G$1,0))</f>
        <v>L</v>
      </c>
      <c r="M122" s="14">
        <f>INDEX(products!$A$1:$G$49,MATCH(orders!$D122,products!$A$1:$A$49,0),MATCH(orders!M$1,products!$A$1:$G$1,0))</f>
        <v>0.2</v>
      </c>
      <c r="N122" s="4">
        <f>INDEX(products!$A$1:$G$49,MATCH(orders!$D122,products!$A$1:$A$49,0),MATCH(orders!N$1,products!$A$1:$G$1,0))</f>
        <v>3.8849999999999998</v>
      </c>
      <c r="O122" s="13">
        <f t="shared" si="5"/>
        <v>3.8849999999999998</v>
      </c>
      <c r="P122" s="13">
        <f>_xlfn.XLOOKUP(Orders[[#This Row],[Product ID]],products!$A$1:$A$49,products!$G$1:$G$49,,0)</f>
        <v>0.34964999999999996</v>
      </c>
      <c r="Q122" s="13">
        <f t="shared" si="6"/>
        <v>0.34964999999999996</v>
      </c>
      <c r="R122" t="str">
        <f t="shared" si="8"/>
        <v>Arabica</v>
      </c>
      <c r="S122" t="str">
        <f t="shared" si="9"/>
        <v>Light</v>
      </c>
      <c r="T122" t="str">
        <f>_xlfn.XLOOKUP(Orders[[#This Row],[Customer ID]],customers!$A$1:$A$1001,customers!$I$1:$I$1001,,0)</f>
        <v>No</v>
      </c>
    </row>
    <row r="123" spans="1:20" x14ac:dyDescent="0.35">
      <c r="A123" s="2" t="s">
        <v>1158</v>
      </c>
      <c r="B123" s="3">
        <v>44471</v>
      </c>
      <c r="C123" s="2" t="s">
        <v>1159</v>
      </c>
      <c r="D123" t="s">
        <v>6141</v>
      </c>
      <c r="E123" t="str">
        <f t="shared" si="7"/>
        <v>Excelsa-Medium-1</v>
      </c>
      <c r="F123" s="2">
        <v>5</v>
      </c>
      <c r="G123" s="2" t="str" cm="1">
        <f t="array" ref="G123">_xlfn.XLOOKUP(C123, customers!$A$1:A1122,customers!$B$1:B1122,,0)</f>
        <v>Cordi Switsur</v>
      </c>
      <c r="H123" s="2" t="str" cm="1">
        <f t="array" ref="H123">IF(_xlfn.XLOOKUP(C123,customers!$A$1:A1122,customers!$C$1:C1122,,0) = 0,"", _xlfn.XLOOKUP(C123,customers!$A$1:A1122,customers!$C$1:C1122,,0))</f>
        <v>cswitsur3b@chronoengine.com</v>
      </c>
      <c r="I123" s="2" t="str">
        <f>_xlfn.XLOOKUP(C123,customers!$A$1:$A$1001,customers!$G$1:$G$1001,,0)</f>
        <v>United States</v>
      </c>
      <c r="J123" s="2" t="str">
        <f>_xlfn.XLOOKUP(Orders[[#This Row],[Customer ID]],customers!$A$1:$A$1001,customers!$F$1:$F$1001,,0)</f>
        <v>Nashville</v>
      </c>
      <c r="K123" t="str">
        <f>INDEX(products!$A$1:$G$49,MATCH(orders!$D123,products!$A$1:$A$49,0),MATCH(orders!K$1,products!$A$1:$G$1,0))</f>
        <v>Exc</v>
      </c>
      <c r="L123" t="str">
        <f>INDEX(products!$A$1:$G$49,MATCH(orders!$D123,products!$A$1:$A$49,0),MATCH(orders!L$1,products!$A$1:$G$1,0))</f>
        <v>M</v>
      </c>
      <c r="M123" s="14">
        <f>INDEX(products!$A$1:$G$49,MATCH(orders!$D123,products!$A$1:$A$49,0),MATCH(orders!M$1,products!$A$1:$G$1,0))</f>
        <v>1</v>
      </c>
      <c r="N123" s="4">
        <f>INDEX(products!$A$1:$G$49,MATCH(orders!$D123,products!$A$1:$A$49,0),MATCH(orders!N$1,products!$A$1:$G$1,0))</f>
        <v>13.75</v>
      </c>
      <c r="O123" s="13">
        <f t="shared" si="5"/>
        <v>68.75</v>
      </c>
      <c r="P123" s="13">
        <f>_xlfn.XLOOKUP(Orders[[#This Row],[Product ID]],products!$A$1:$A$49,products!$G$1:$G$49,,0)</f>
        <v>1.5125</v>
      </c>
      <c r="Q123" s="13">
        <f t="shared" si="6"/>
        <v>7.5625</v>
      </c>
      <c r="R123" t="str">
        <f t="shared" si="8"/>
        <v>Execelsa</v>
      </c>
      <c r="S123" t="str">
        <f t="shared" si="9"/>
        <v>Medium</v>
      </c>
      <c r="T123" t="str">
        <f>_xlfn.XLOOKUP(Orders[[#This Row],[Customer ID]],customers!$A$1:$A$1001,customers!$I$1:$I$1001,,0)</f>
        <v>No</v>
      </c>
    </row>
    <row r="124" spans="1:20" x14ac:dyDescent="0.35">
      <c r="A124" s="2" t="s">
        <v>1174</v>
      </c>
      <c r="B124" s="3">
        <v>44268</v>
      </c>
      <c r="C124" s="2" t="s">
        <v>1175</v>
      </c>
      <c r="D124" t="s">
        <v>6158</v>
      </c>
      <c r="E124" t="str">
        <f t="shared" si="7"/>
        <v>Arabica-Dark-0.5</v>
      </c>
      <c r="F124" s="2">
        <v>4</v>
      </c>
      <c r="G124" s="2" t="str" cm="1">
        <f t="array" ref="G124">_xlfn.XLOOKUP(C124, customers!$A$1:A1123,customers!$B$1:B1123,,0)</f>
        <v>Mahala Ludwell</v>
      </c>
      <c r="H124" s="2" t="str" cm="1">
        <f t="array" ref="H124">IF(_xlfn.XLOOKUP(C124,customers!$A$1:A1123,customers!$C$1:C1123,,0) = 0,"", _xlfn.XLOOKUP(C124,customers!$A$1:A1123,customers!$C$1:C1123,,0))</f>
        <v>mludwell3e@blogger.com</v>
      </c>
      <c r="I124" s="2" t="str">
        <f>_xlfn.XLOOKUP(C124,customers!$A$1:$A$1001,customers!$G$1:$G$1001,,0)</f>
        <v>United States</v>
      </c>
      <c r="J124" s="2" t="str">
        <f>_xlfn.XLOOKUP(Orders[[#This Row],[Customer ID]],customers!$A$1:$A$1001,customers!$F$1:$F$1001,,0)</f>
        <v>Denver</v>
      </c>
      <c r="K124" t="str">
        <f>INDEX(products!$A$1:$G$49,MATCH(orders!$D124,products!$A$1:$A$49,0),MATCH(orders!K$1,products!$A$1:$G$1,0))</f>
        <v>Ara</v>
      </c>
      <c r="L124" t="str">
        <f>INDEX(products!$A$1:$G$49,MATCH(orders!$D124,products!$A$1:$A$49,0),MATCH(orders!L$1,products!$A$1:$G$1,0))</f>
        <v>D</v>
      </c>
      <c r="M124" s="14">
        <f>INDEX(products!$A$1:$G$49,MATCH(orders!$D124,products!$A$1:$A$49,0),MATCH(orders!M$1,products!$A$1:$G$1,0))</f>
        <v>0.5</v>
      </c>
      <c r="N124" s="4">
        <f>INDEX(products!$A$1:$G$49,MATCH(orders!$D124,products!$A$1:$A$49,0),MATCH(orders!N$1,products!$A$1:$G$1,0))</f>
        <v>5.97</v>
      </c>
      <c r="O124" s="13">
        <f t="shared" si="5"/>
        <v>23.88</v>
      </c>
      <c r="P124" s="13">
        <f>_xlfn.XLOOKUP(Orders[[#This Row],[Product ID]],products!$A$1:$A$49,products!$G$1:$G$49,,0)</f>
        <v>0.5373</v>
      </c>
      <c r="Q124" s="13">
        <f t="shared" si="6"/>
        <v>2.1492</v>
      </c>
      <c r="R124" t="str">
        <f t="shared" si="8"/>
        <v>Arabica</v>
      </c>
      <c r="S124" t="str">
        <f t="shared" si="9"/>
        <v>Dark</v>
      </c>
      <c r="T124" t="str">
        <f>_xlfn.XLOOKUP(Orders[[#This Row],[Customer ID]],customers!$A$1:$A$1001,customers!$I$1:$I$1001,,0)</f>
        <v>Yes</v>
      </c>
    </row>
    <row r="125" spans="1:20" x14ac:dyDescent="0.35">
      <c r="A125" s="2" t="s">
        <v>1180</v>
      </c>
      <c r="B125" s="3">
        <v>44724</v>
      </c>
      <c r="C125" s="2" t="s">
        <v>1181</v>
      </c>
      <c r="D125" t="s">
        <v>6164</v>
      </c>
      <c r="E125" t="str">
        <f t="shared" si="7"/>
        <v>Liberica-Light-2.5</v>
      </c>
      <c r="F125" s="2">
        <v>4</v>
      </c>
      <c r="G125" s="2" t="str" cm="1">
        <f t="array" ref="G125">_xlfn.XLOOKUP(C125, customers!$A$1:A1124,customers!$B$1:B1124,,0)</f>
        <v>Doll Beauchamp</v>
      </c>
      <c r="H125" s="2" t="str" cm="1">
        <f t="array" ref="H125">IF(_xlfn.XLOOKUP(C125,customers!$A$1:A1124,customers!$C$1:C1124,,0) = 0,"", _xlfn.XLOOKUP(C125,customers!$A$1:A1124,customers!$C$1:C1124,,0))</f>
        <v>dbeauchamp3f@usda.gov</v>
      </c>
      <c r="I125" s="2" t="str">
        <f>_xlfn.XLOOKUP(C125,customers!$A$1:$A$1001,customers!$G$1:$G$1001,,0)</f>
        <v>United States</v>
      </c>
      <c r="J125" s="2" t="str">
        <f>_xlfn.XLOOKUP(Orders[[#This Row],[Customer ID]],customers!$A$1:$A$1001,customers!$F$1:$F$1001,,0)</f>
        <v>Stamford</v>
      </c>
      <c r="K125" t="str">
        <f>INDEX(products!$A$1:$G$49,MATCH(orders!$D125,products!$A$1:$A$49,0),MATCH(orders!K$1,products!$A$1:$G$1,0))</f>
        <v>Lib</v>
      </c>
      <c r="L125" t="str">
        <f>INDEX(products!$A$1:$G$49,MATCH(orders!$D125,products!$A$1:$A$49,0),MATCH(orders!L$1,products!$A$1:$G$1,0))</f>
        <v>L</v>
      </c>
      <c r="M125" s="14">
        <f>INDEX(products!$A$1:$G$49,MATCH(orders!$D125,products!$A$1:$A$49,0),MATCH(orders!M$1,products!$A$1:$G$1,0))</f>
        <v>2.5</v>
      </c>
      <c r="N125" s="4">
        <f>INDEX(products!$A$1:$G$49,MATCH(orders!$D125,products!$A$1:$A$49,0),MATCH(orders!N$1,products!$A$1:$G$1,0))</f>
        <v>36.454999999999998</v>
      </c>
      <c r="O125" s="13">
        <f t="shared" si="5"/>
        <v>145.82</v>
      </c>
      <c r="P125" s="13">
        <f>_xlfn.XLOOKUP(Orders[[#This Row],[Product ID]],products!$A$1:$A$49,products!$G$1:$G$49,,0)</f>
        <v>4.7391499999999995</v>
      </c>
      <c r="Q125" s="13">
        <f t="shared" si="6"/>
        <v>18.956599999999998</v>
      </c>
      <c r="R125" t="str">
        <f t="shared" si="8"/>
        <v>Liberica</v>
      </c>
      <c r="S125" t="str">
        <f t="shared" si="9"/>
        <v>Light</v>
      </c>
      <c r="T125" t="str">
        <f>_xlfn.XLOOKUP(Orders[[#This Row],[Customer ID]],customers!$A$1:$A$1001,customers!$I$1:$I$1001,,0)</f>
        <v>No</v>
      </c>
    </row>
    <row r="126" spans="1:20" x14ac:dyDescent="0.35">
      <c r="A126" s="2" t="s">
        <v>1186</v>
      </c>
      <c r="B126" s="3">
        <v>43582</v>
      </c>
      <c r="C126" s="2" t="s">
        <v>1187</v>
      </c>
      <c r="D126" t="s">
        <v>6159</v>
      </c>
      <c r="E126" t="str">
        <f t="shared" si="7"/>
        <v>Liberica-Medium-0.2</v>
      </c>
      <c r="F126" s="2">
        <v>5</v>
      </c>
      <c r="G126" s="2" t="str" cm="1">
        <f t="array" ref="G126">_xlfn.XLOOKUP(C126, customers!$A$1:A1125,customers!$B$1:B1125,,0)</f>
        <v>Stanford Rodliff</v>
      </c>
      <c r="H126" s="2" t="str" cm="1">
        <f t="array" ref="H126">IF(_xlfn.XLOOKUP(C126,customers!$A$1:A1125,customers!$C$1:C1125,,0) = 0,"", _xlfn.XLOOKUP(C126,customers!$A$1:A1125,customers!$C$1:C1125,,0))</f>
        <v>srodliff3g@ted.com</v>
      </c>
      <c r="I126" s="2" t="str">
        <f>_xlfn.XLOOKUP(C126,customers!$A$1:$A$1001,customers!$G$1:$G$1001,,0)</f>
        <v>United States</v>
      </c>
      <c r="J126" s="2" t="str">
        <f>_xlfn.XLOOKUP(Orders[[#This Row],[Customer ID]],customers!$A$1:$A$1001,customers!$F$1:$F$1001,,0)</f>
        <v>Newport News</v>
      </c>
      <c r="K126" t="str">
        <f>INDEX(products!$A$1:$G$49,MATCH(orders!$D126,products!$A$1:$A$49,0),MATCH(orders!K$1,products!$A$1:$G$1,0))</f>
        <v>Lib</v>
      </c>
      <c r="L126" t="str">
        <f>INDEX(products!$A$1:$G$49,MATCH(orders!$D126,products!$A$1:$A$49,0),MATCH(orders!L$1,products!$A$1:$G$1,0))</f>
        <v>M</v>
      </c>
      <c r="M126" s="14">
        <f>INDEX(products!$A$1:$G$49,MATCH(orders!$D126,products!$A$1:$A$49,0),MATCH(orders!M$1,products!$A$1:$G$1,0))</f>
        <v>0.2</v>
      </c>
      <c r="N126" s="4">
        <f>INDEX(products!$A$1:$G$49,MATCH(orders!$D126,products!$A$1:$A$49,0),MATCH(orders!N$1,products!$A$1:$G$1,0))</f>
        <v>4.3650000000000002</v>
      </c>
      <c r="O126" s="13">
        <f t="shared" si="5"/>
        <v>21.825000000000003</v>
      </c>
      <c r="P126" s="13">
        <f>_xlfn.XLOOKUP(Orders[[#This Row],[Product ID]],products!$A$1:$A$49,products!$G$1:$G$49,,0)</f>
        <v>0.56745000000000001</v>
      </c>
      <c r="Q126" s="13">
        <f t="shared" si="6"/>
        <v>2.83725</v>
      </c>
      <c r="R126" t="str">
        <f t="shared" si="8"/>
        <v>Liberica</v>
      </c>
      <c r="S126" t="str">
        <f t="shared" si="9"/>
        <v>Medium</v>
      </c>
      <c r="T126" t="str">
        <f>_xlfn.XLOOKUP(Orders[[#This Row],[Customer ID]],customers!$A$1:$A$1001,customers!$I$1:$I$1001,,0)</f>
        <v>Yes</v>
      </c>
    </row>
    <row r="127" spans="1:20" x14ac:dyDescent="0.35">
      <c r="A127" s="2" t="s">
        <v>1192</v>
      </c>
      <c r="B127" s="3">
        <v>43608</v>
      </c>
      <c r="C127" s="2" t="s">
        <v>1193</v>
      </c>
      <c r="D127" t="s">
        <v>6160</v>
      </c>
      <c r="E127" t="str">
        <f t="shared" si="7"/>
        <v>Liberica-Medium-0.5</v>
      </c>
      <c r="F127" s="2">
        <v>3</v>
      </c>
      <c r="G127" s="2" t="str" cm="1">
        <f t="array" ref="G127">_xlfn.XLOOKUP(C127, customers!$A$1:A1126,customers!$B$1:B1126,,0)</f>
        <v>Stevana Woodham</v>
      </c>
      <c r="H127" s="2" t="str" cm="1">
        <f t="array" ref="H127">IF(_xlfn.XLOOKUP(C127,customers!$A$1:A1126,customers!$C$1:C1126,,0) = 0,"", _xlfn.XLOOKUP(C127,customers!$A$1:A1126,customers!$C$1:C1126,,0))</f>
        <v>swoodham3h@businesswire.com</v>
      </c>
      <c r="I127" s="2" t="str">
        <f>_xlfn.XLOOKUP(C127,customers!$A$1:$A$1001,customers!$G$1:$G$1001,,0)</f>
        <v>Ireland</v>
      </c>
      <c r="J127" s="2" t="str">
        <f>_xlfn.XLOOKUP(Orders[[#This Row],[Customer ID]],customers!$A$1:$A$1001,customers!$F$1:$F$1001,,0)</f>
        <v>Drumcondra</v>
      </c>
      <c r="K127" t="str">
        <f>INDEX(products!$A$1:$G$49,MATCH(orders!$D127,products!$A$1:$A$49,0),MATCH(orders!K$1,products!$A$1:$G$1,0))</f>
        <v>Lib</v>
      </c>
      <c r="L127" t="str">
        <f>INDEX(products!$A$1:$G$49,MATCH(orders!$D127,products!$A$1:$A$49,0),MATCH(orders!L$1,products!$A$1:$G$1,0))</f>
        <v>M</v>
      </c>
      <c r="M127" s="14">
        <f>INDEX(products!$A$1:$G$49,MATCH(orders!$D127,products!$A$1:$A$49,0),MATCH(orders!M$1,products!$A$1:$G$1,0))</f>
        <v>0.5</v>
      </c>
      <c r="N127" s="4">
        <f>INDEX(products!$A$1:$G$49,MATCH(orders!$D127,products!$A$1:$A$49,0),MATCH(orders!N$1,products!$A$1:$G$1,0))</f>
        <v>8.73</v>
      </c>
      <c r="O127" s="13">
        <f t="shared" si="5"/>
        <v>26.19</v>
      </c>
      <c r="P127" s="13">
        <f>_xlfn.XLOOKUP(Orders[[#This Row],[Product ID]],products!$A$1:$A$49,products!$G$1:$G$49,,0)</f>
        <v>1.1349</v>
      </c>
      <c r="Q127" s="13">
        <f t="shared" si="6"/>
        <v>3.4047000000000001</v>
      </c>
      <c r="R127" t="str">
        <f t="shared" si="8"/>
        <v>Liberica</v>
      </c>
      <c r="S127" t="str">
        <f t="shared" si="9"/>
        <v>Medium</v>
      </c>
      <c r="T127" t="str">
        <f>_xlfn.XLOOKUP(Orders[[#This Row],[Customer ID]],customers!$A$1:$A$1001,customers!$I$1:$I$1001,,0)</f>
        <v>Yes</v>
      </c>
    </row>
    <row r="128" spans="1:20" x14ac:dyDescent="0.35">
      <c r="A128" s="2" t="s">
        <v>1198</v>
      </c>
      <c r="B128" s="3">
        <v>44026</v>
      </c>
      <c r="C128" s="2" t="s">
        <v>1199</v>
      </c>
      <c r="D128" t="s">
        <v>6155</v>
      </c>
      <c r="E128" t="str">
        <f t="shared" si="7"/>
        <v>Arabica-Medium-1</v>
      </c>
      <c r="F128" s="2">
        <v>1</v>
      </c>
      <c r="G128" s="2" t="str" cm="1">
        <f t="array" ref="G128">_xlfn.XLOOKUP(C128, customers!$A$1:A1127,customers!$B$1:B1127,,0)</f>
        <v>Hewet Synnot</v>
      </c>
      <c r="H128" s="2" t="str" cm="1">
        <f t="array" ref="H128">IF(_xlfn.XLOOKUP(C128,customers!$A$1:A1127,customers!$C$1:C1127,,0) = 0,"", _xlfn.XLOOKUP(C128,customers!$A$1:A1127,customers!$C$1:C1127,,0))</f>
        <v>hsynnot3i@about.com</v>
      </c>
      <c r="I128" s="2" t="str">
        <f>_xlfn.XLOOKUP(C128,customers!$A$1:$A$1001,customers!$G$1:$G$1001,,0)</f>
        <v>United States</v>
      </c>
      <c r="J128" s="2" t="str">
        <f>_xlfn.XLOOKUP(Orders[[#This Row],[Customer ID]],customers!$A$1:$A$1001,customers!$F$1:$F$1001,,0)</f>
        <v>Anchorage</v>
      </c>
      <c r="K128" t="str">
        <f>INDEX(products!$A$1:$G$49,MATCH(orders!$D128,products!$A$1:$A$49,0),MATCH(orders!K$1,products!$A$1:$G$1,0))</f>
        <v>Ara</v>
      </c>
      <c r="L128" t="str">
        <f>INDEX(products!$A$1:$G$49,MATCH(orders!$D128,products!$A$1:$A$49,0),MATCH(orders!L$1,products!$A$1:$G$1,0))</f>
        <v>M</v>
      </c>
      <c r="M128" s="14">
        <f>INDEX(products!$A$1:$G$49,MATCH(orders!$D128,products!$A$1:$A$49,0),MATCH(orders!M$1,products!$A$1:$G$1,0))</f>
        <v>1</v>
      </c>
      <c r="N128" s="4">
        <f>INDEX(products!$A$1:$G$49,MATCH(orders!$D128,products!$A$1:$A$49,0),MATCH(orders!N$1,products!$A$1:$G$1,0))</f>
        <v>11.25</v>
      </c>
      <c r="O128" s="13">
        <f t="shared" si="5"/>
        <v>11.25</v>
      </c>
      <c r="P128" s="13">
        <f>_xlfn.XLOOKUP(Orders[[#This Row],[Product ID]],products!$A$1:$A$49,products!$G$1:$G$49,,0)</f>
        <v>1.0125</v>
      </c>
      <c r="Q128" s="13">
        <f t="shared" si="6"/>
        <v>1.0125</v>
      </c>
      <c r="R128" t="str">
        <f t="shared" si="8"/>
        <v>Arabica</v>
      </c>
      <c r="S128" t="str">
        <f t="shared" si="9"/>
        <v>Medium</v>
      </c>
      <c r="T128" t="str">
        <f>_xlfn.XLOOKUP(Orders[[#This Row],[Customer ID]],customers!$A$1:$A$1001,customers!$I$1:$I$1001,,0)</f>
        <v>No</v>
      </c>
    </row>
    <row r="129" spans="1:20" x14ac:dyDescent="0.35">
      <c r="A129" s="2" t="s">
        <v>1204</v>
      </c>
      <c r="B129" s="3">
        <v>44510</v>
      </c>
      <c r="C129" s="2" t="s">
        <v>1205</v>
      </c>
      <c r="D129" t="s">
        <v>6143</v>
      </c>
      <c r="E129" t="str">
        <f t="shared" si="7"/>
        <v>Liberica-Dark-1</v>
      </c>
      <c r="F129" s="2">
        <v>6</v>
      </c>
      <c r="G129" s="2" t="str" cm="1">
        <f t="array" ref="G129">_xlfn.XLOOKUP(C129, customers!$A$1:A1128,customers!$B$1:B1128,,0)</f>
        <v>Raleigh Lepere</v>
      </c>
      <c r="H129" s="2" t="str" cm="1">
        <f t="array" ref="H129">IF(_xlfn.XLOOKUP(C129,customers!$A$1:A1128,customers!$C$1:C1128,,0) = 0,"", _xlfn.XLOOKUP(C129,customers!$A$1:A1128,customers!$C$1:C1128,,0))</f>
        <v>rlepere3j@shop-pro.jp</v>
      </c>
      <c r="I129" s="2" t="str">
        <f>_xlfn.XLOOKUP(C129,customers!$A$1:$A$1001,customers!$G$1:$G$1001,,0)</f>
        <v>Ireland</v>
      </c>
      <c r="J129" s="2" t="str">
        <f>_xlfn.XLOOKUP(Orders[[#This Row],[Customer ID]],customers!$A$1:$A$1001,customers!$F$1:$F$1001,,0)</f>
        <v>Beaumont</v>
      </c>
      <c r="K129" t="str">
        <f>INDEX(products!$A$1:$G$49,MATCH(orders!$D129,products!$A$1:$A$49,0),MATCH(orders!K$1,products!$A$1:$G$1,0))</f>
        <v>Lib</v>
      </c>
      <c r="L129" t="str">
        <f>INDEX(products!$A$1:$G$49,MATCH(orders!$D129,products!$A$1:$A$49,0),MATCH(orders!L$1,products!$A$1:$G$1,0))</f>
        <v>D</v>
      </c>
      <c r="M129" s="14">
        <f>INDEX(products!$A$1:$G$49,MATCH(orders!$D129,products!$A$1:$A$49,0),MATCH(orders!M$1,products!$A$1:$G$1,0))</f>
        <v>1</v>
      </c>
      <c r="N129" s="4">
        <f>INDEX(products!$A$1:$G$49,MATCH(orders!$D129,products!$A$1:$A$49,0),MATCH(orders!N$1,products!$A$1:$G$1,0))</f>
        <v>12.95</v>
      </c>
      <c r="O129" s="13">
        <f t="shared" si="5"/>
        <v>77.699999999999989</v>
      </c>
      <c r="P129" s="13">
        <f>_xlfn.XLOOKUP(Orders[[#This Row],[Product ID]],products!$A$1:$A$49,products!$G$1:$G$49,,0)</f>
        <v>1.6835</v>
      </c>
      <c r="Q129" s="13">
        <f t="shared" si="6"/>
        <v>10.100999999999999</v>
      </c>
      <c r="R129" t="str">
        <f t="shared" si="8"/>
        <v>Liberica</v>
      </c>
      <c r="S129" t="str">
        <f t="shared" si="9"/>
        <v>Dark</v>
      </c>
      <c r="T129" t="str">
        <f>_xlfn.XLOOKUP(Orders[[#This Row],[Customer ID]],customers!$A$1:$A$1001,customers!$I$1:$I$1001,,0)</f>
        <v>No</v>
      </c>
    </row>
    <row r="130" spans="1:20" x14ac:dyDescent="0.35">
      <c r="A130" s="2" t="s">
        <v>1210</v>
      </c>
      <c r="B130" s="3">
        <v>44439</v>
      </c>
      <c r="C130" s="2" t="s">
        <v>1211</v>
      </c>
      <c r="D130" t="s">
        <v>6157</v>
      </c>
      <c r="E130" t="str">
        <f t="shared" si="7"/>
        <v>Arabica-Medium-0.5</v>
      </c>
      <c r="F130" s="2">
        <v>1</v>
      </c>
      <c r="G130" s="2" t="str" cm="1">
        <f t="array" ref="G130">_xlfn.XLOOKUP(C130, customers!$A$1:A1129,customers!$B$1:B1129,,0)</f>
        <v>Timofei Woofinden</v>
      </c>
      <c r="H130" s="2" t="str" cm="1">
        <f t="array" ref="H130">IF(_xlfn.XLOOKUP(C130,customers!$A$1:A1129,customers!$C$1:C1129,,0) = 0,"", _xlfn.XLOOKUP(C130,customers!$A$1:A1129,customers!$C$1:C1129,,0))</f>
        <v>twoofinden3k@businesswire.com</v>
      </c>
      <c r="I130" s="2" t="str">
        <f>_xlfn.XLOOKUP(C130,customers!$A$1:$A$1001,customers!$G$1:$G$1001,,0)</f>
        <v>United States</v>
      </c>
      <c r="J130" s="2" t="str">
        <f>_xlfn.XLOOKUP(Orders[[#This Row],[Customer ID]],customers!$A$1:$A$1001,customers!$F$1:$F$1001,,0)</f>
        <v>Fargo</v>
      </c>
      <c r="K130" t="str">
        <f>INDEX(products!$A$1:$G$49,MATCH(orders!$D130,products!$A$1:$A$49,0),MATCH(orders!K$1,products!$A$1:$G$1,0))</f>
        <v>Ara</v>
      </c>
      <c r="L130" t="str">
        <f>INDEX(products!$A$1:$G$49,MATCH(orders!$D130,products!$A$1:$A$49,0),MATCH(orders!L$1,products!$A$1:$G$1,0))</f>
        <v>M</v>
      </c>
      <c r="M130" s="14">
        <f>INDEX(products!$A$1:$G$49,MATCH(orders!$D130,products!$A$1:$A$49,0),MATCH(orders!M$1,products!$A$1:$G$1,0))</f>
        <v>0.5</v>
      </c>
      <c r="N130" s="4">
        <f>INDEX(products!$A$1:$G$49,MATCH(orders!$D130,products!$A$1:$A$49,0),MATCH(orders!N$1,products!$A$1:$G$1,0))</f>
        <v>6.75</v>
      </c>
      <c r="O130" s="13">
        <f t="shared" ref="O130:O193" si="10">N130*F130</f>
        <v>6.75</v>
      </c>
      <c r="P130" s="13">
        <f>_xlfn.XLOOKUP(Orders[[#This Row],[Product ID]],products!$A$1:$A$49,products!$G$1:$G$49,,0)</f>
        <v>0.60749999999999993</v>
      </c>
      <c r="Q130" s="13">
        <f t="shared" ref="Q130:Q193" si="11">P130*F130</f>
        <v>0.60749999999999993</v>
      </c>
      <c r="R130" t="str">
        <f t="shared" si="8"/>
        <v>Arabica</v>
      </c>
      <c r="S130" t="str">
        <f t="shared" si="9"/>
        <v>Medium</v>
      </c>
      <c r="T130" t="str">
        <f>_xlfn.XLOOKUP(Orders[[#This Row],[Customer ID]],customers!$A$1:$A$1001,customers!$I$1:$I$1001,,0)</f>
        <v>No</v>
      </c>
    </row>
    <row r="131" spans="1:20" x14ac:dyDescent="0.35">
      <c r="A131" s="2" t="s">
        <v>1216</v>
      </c>
      <c r="B131" s="3">
        <v>43652</v>
      </c>
      <c r="C131" s="2" t="s">
        <v>1217</v>
      </c>
      <c r="D131" t="s">
        <v>6183</v>
      </c>
      <c r="E131" t="str">
        <f t="shared" ref="E131:E194" si="12">IF(LEFT(D131,1)="R", "Robusta",
    IF(LEFT(D131,1)="A", "Arabica",
        IF(LEFT(D131,1)="E", "Excelsa",
            IF(LEFT(D131,1)="L", "Liberica", "")
        )
    )
) &amp; "-" &amp;
IF(MID(D131,3,1)="D", "Dark",
    IF(MID(D131,3,1)="M", "Medium",
        IF(MID(D131,3,1)="L", "Light", "")
    )
) &amp; "-" &amp;
MID(D131,5,LEN(D131)-4)</f>
        <v>Excelsa-Dark-1</v>
      </c>
      <c r="F131" s="2">
        <v>1</v>
      </c>
      <c r="G131" s="2" t="str" cm="1">
        <f t="array" ref="G131">_xlfn.XLOOKUP(C131, customers!$A$1:A1130,customers!$B$1:B1130,,0)</f>
        <v>Evelina Dacca</v>
      </c>
      <c r="H131" s="2" t="str" cm="1">
        <f t="array" ref="H131">IF(_xlfn.XLOOKUP(C131,customers!$A$1:A1130,customers!$C$1:C1130,,0) = 0,"", _xlfn.XLOOKUP(C131,customers!$A$1:A1130,customers!$C$1:C1130,,0))</f>
        <v>edacca3l@google.pl</v>
      </c>
      <c r="I131" s="2" t="str">
        <f>_xlfn.XLOOKUP(C131,customers!$A$1:$A$1001,customers!$G$1:$G$1001,,0)</f>
        <v>United States</v>
      </c>
      <c r="J131" s="2" t="str">
        <f>_xlfn.XLOOKUP(Orders[[#This Row],[Customer ID]],customers!$A$1:$A$1001,customers!$F$1:$F$1001,,0)</f>
        <v>Evansville</v>
      </c>
      <c r="K131" t="str">
        <f>INDEX(products!$A$1:$G$49,MATCH(orders!$D131,products!$A$1:$A$49,0),MATCH(orders!K$1,products!$A$1:$G$1,0))</f>
        <v>Exc</v>
      </c>
      <c r="L131" t="str">
        <f>INDEX(products!$A$1:$G$49,MATCH(orders!$D131,products!$A$1:$A$49,0),MATCH(orders!L$1,products!$A$1:$G$1,0))</f>
        <v>D</v>
      </c>
      <c r="M131" s="14">
        <f>INDEX(products!$A$1:$G$49,MATCH(orders!$D131,products!$A$1:$A$49,0),MATCH(orders!M$1,products!$A$1:$G$1,0))</f>
        <v>1</v>
      </c>
      <c r="N131" s="4">
        <f>INDEX(products!$A$1:$G$49,MATCH(orders!$D131,products!$A$1:$A$49,0),MATCH(orders!N$1,products!$A$1:$G$1,0))</f>
        <v>12.15</v>
      </c>
      <c r="O131" s="13">
        <f t="shared" si="10"/>
        <v>12.15</v>
      </c>
      <c r="P131" s="13">
        <f>_xlfn.XLOOKUP(Orders[[#This Row],[Product ID]],products!$A$1:$A$49,products!$G$1:$G$49,,0)</f>
        <v>1.3365</v>
      </c>
      <c r="Q131" s="13">
        <f t="shared" si="11"/>
        <v>1.3365</v>
      </c>
      <c r="R131" t="str">
        <f t="shared" ref="R131:R194" si="13">IF(K131="Rob","Robusta",IF(K131="Exc","Execelsa",IF(K131="Ara","Arabica",IF(K131="Lib","Liberica",""))))</f>
        <v>Execelsa</v>
      </c>
      <c r="S131" t="str">
        <f t="shared" ref="S131:S194" si="14" xml:space="preserve"> IF(L131="M", "Medium", IF(L131="L","Light",IF(L131="D","Dark","")))</f>
        <v>Dark</v>
      </c>
      <c r="T131" t="str">
        <f>_xlfn.XLOOKUP(Orders[[#This Row],[Customer ID]],customers!$A$1:$A$1001,customers!$I$1:$I$1001,,0)</f>
        <v>Yes</v>
      </c>
    </row>
    <row r="132" spans="1:20" x14ac:dyDescent="0.35">
      <c r="A132" s="2" t="s">
        <v>1222</v>
      </c>
      <c r="B132" s="3">
        <v>44624</v>
      </c>
      <c r="C132" s="2" t="s">
        <v>1223</v>
      </c>
      <c r="D132" t="s">
        <v>6182</v>
      </c>
      <c r="E132" t="str">
        <f t="shared" si="12"/>
        <v>Arabica-Light-2.5</v>
      </c>
      <c r="F132" s="2">
        <v>5</v>
      </c>
      <c r="G132" s="2" t="str" cm="1">
        <f t="array" ref="G132">_xlfn.XLOOKUP(C132, customers!$A$1:A1131,customers!$B$1:B1131,,0)</f>
        <v>Bidget Tremellier</v>
      </c>
      <c r="H132" s="2" t="str" cm="1">
        <f t="array" ref="H132">IF(_xlfn.XLOOKUP(C132,customers!$A$1:A1131,customers!$C$1:C1131,,0) = 0,"", _xlfn.XLOOKUP(C132,customers!$A$1:A1131,customers!$C$1:C1131,,0))</f>
        <v/>
      </c>
      <c r="I132" s="2" t="str">
        <f>_xlfn.XLOOKUP(C132,customers!$A$1:$A$1001,customers!$G$1:$G$1001,,0)</f>
        <v>Ireland</v>
      </c>
      <c r="J132" s="2" t="str">
        <f>_xlfn.XLOOKUP(Orders[[#This Row],[Customer ID]],customers!$A$1:$A$1001,customers!$F$1:$F$1001,,0)</f>
        <v>Cherryville</v>
      </c>
      <c r="K132" t="str">
        <f>INDEX(products!$A$1:$G$49,MATCH(orders!$D132,products!$A$1:$A$49,0),MATCH(orders!K$1,products!$A$1:$G$1,0))</f>
        <v>Ara</v>
      </c>
      <c r="L132" t="str">
        <f>INDEX(products!$A$1:$G$49,MATCH(orders!$D132,products!$A$1:$A$49,0),MATCH(orders!L$1,products!$A$1:$G$1,0))</f>
        <v>L</v>
      </c>
      <c r="M132" s="14">
        <f>INDEX(products!$A$1:$G$49,MATCH(orders!$D132,products!$A$1:$A$49,0),MATCH(orders!M$1,products!$A$1:$G$1,0))</f>
        <v>2.5</v>
      </c>
      <c r="N132" s="4">
        <f>INDEX(products!$A$1:$G$49,MATCH(orders!$D132,products!$A$1:$A$49,0),MATCH(orders!N$1,products!$A$1:$G$1,0))</f>
        <v>29.784999999999997</v>
      </c>
      <c r="O132" s="13">
        <f t="shared" si="10"/>
        <v>148.92499999999998</v>
      </c>
      <c r="P132" s="13">
        <f>_xlfn.XLOOKUP(Orders[[#This Row],[Product ID]],products!$A$1:$A$49,products!$G$1:$G$49,,0)</f>
        <v>2.6806499999999995</v>
      </c>
      <c r="Q132" s="13">
        <f t="shared" si="11"/>
        <v>13.403249999999998</v>
      </c>
      <c r="R132" t="str">
        <f t="shared" si="13"/>
        <v>Arabica</v>
      </c>
      <c r="S132" t="str">
        <f t="shared" si="14"/>
        <v>Light</v>
      </c>
      <c r="T132" t="str">
        <f>_xlfn.XLOOKUP(Orders[[#This Row],[Customer ID]],customers!$A$1:$A$1001,customers!$I$1:$I$1001,,0)</f>
        <v>Yes</v>
      </c>
    </row>
    <row r="133" spans="1:20" x14ac:dyDescent="0.35">
      <c r="A133" s="2" t="s">
        <v>1227</v>
      </c>
      <c r="B133" s="3">
        <v>44196</v>
      </c>
      <c r="C133" s="2" t="s">
        <v>1228</v>
      </c>
      <c r="D133" t="s">
        <v>6144</v>
      </c>
      <c r="E133" t="str">
        <f t="shared" si="12"/>
        <v>Excelsa-Dark-0.5</v>
      </c>
      <c r="F133" s="2">
        <v>2</v>
      </c>
      <c r="G133" s="2" t="str" cm="1">
        <f t="array" ref="G133">_xlfn.XLOOKUP(C133, customers!$A$1:A1132,customers!$B$1:B1132,,0)</f>
        <v>Bobinette Hindsberg</v>
      </c>
      <c r="H133" s="2" t="str" cm="1">
        <f t="array" ref="H133">IF(_xlfn.XLOOKUP(C133,customers!$A$1:A1132,customers!$C$1:C1132,,0) = 0,"", _xlfn.XLOOKUP(C133,customers!$A$1:A1132,customers!$C$1:C1132,,0))</f>
        <v>bhindsberg3n@blogs.com</v>
      </c>
      <c r="I133" s="2" t="str">
        <f>_xlfn.XLOOKUP(C133,customers!$A$1:$A$1001,customers!$G$1:$G$1001,,0)</f>
        <v>United States</v>
      </c>
      <c r="J133" s="2" t="str">
        <f>_xlfn.XLOOKUP(Orders[[#This Row],[Customer ID]],customers!$A$1:$A$1001,customers!$F$1:$F$1001,,0)</f>
        <v>Charlotte</v>
      </c>
      <c r="K133" t="str">
        <f>INDEX(products!$A$1:$G$49,MATCH(orders!$D133,products!$A$1:$A$49,0),MATCH(orders!K$1,products!$A$1:$G$1,0))</f>
        <v>Exc</v>
      </c>
      <c r="L133" t="str">
        <f>INDEX(products!$A$1:$G$49,MATCH(orders!$D133,products!$A$1:$A$49,0),MATCH(orders!L$1,products!$A$1:$G$1,0))</f>
        <v>D</v>
      </c>
      <c r="M133" s="14">
        <f>INDEX(products!$A$1:$G$49,MATCH(orders!$D133,products!$A$1:$A$49,0),MATCH(orders!M$1,products!$A$1:$G$1,0))</f>
        <v>0.5</v>
      </c>
      <c r="N133" s="4">
        <f>INDEX(products!$A$1:$G$49,MATCH(orders!$D133,products!$A$1:$A$49,0),MATCH(orders!N$1,products!$A$1:$G$1,0))</f>
        <v>7.29</v>
      </c>
      <c r="O133" s="13">
        <f t="shared" si="10"/>
        <v>14.58</v>
      </c>
      <c r="P133" s="13">
        <f>_xlfn.XLOOKUP(Orders[[#This Row],[Product ID]],products!$A$1:$A$49,products!$G$1:$G$49,,0)</f>
        <v>0.80190000000000006</v>
      </c>
      <c r="Q133" s="13">
        <f t="shared" si="11"/>
        <v>1.6038000000000001</v>
      </c>
      <c r="R133" t="str">
        <f t="shared" si="13"/>
        <v>Execelsa</v>
      </c>
      <c r="S133" t="str">
        <f t="shared" si="14"/>
        <v>Dark</v>
      </c>
      <c r="T133" t="str">
        <f>_xlfn.XLOOKUP(Orders[[#This Row],[Customer ID]],customers!$A$1:$A$1001,customers!$I$1:$I$1001,,0)</f>
        <v>Yes</v>
      </c>
    </row>
    <row r="134" spans="1:20" x14ac:dyDescent="0.35">
      <c r="A134" s="2" t="s">
        <v>1233</v>
      </c>
      <c r="B134" s="3">
        <v>44043</v>
      </c>
      <c r="C134" s="2" t="s">
        <v>1234</v>
      </c>
      <c r="D134" t="s">
        <v>6182</v>
      </c>
      <c r="E134" t="str">
        <f t="shared" si="12"/>
        <v>Arabica-Light-2.5</v>
      </c>
      <c r="F134" s="2">
        <v>5</v>
      </c>
      <c r="G134" s="2" t="str" cm="1">
        <f t="array" ref="G134">_xlfn.XLOOKUP(C134, customers!$A$1:A1133,customers!$B$1:B1133,,0)</f>
        <v>Osbert Robins</v>
      </c>
      <c r="H134" s="2" t="str" cm="1">
        <f t="array" ref="H134">IF(_xlfn.XLOOKUP(C134,customers!$A$1:A1133,customers!$C$1:C1133,,0) = 0,"", _xlfn.XLOOKUP(C134,customers!$A$1:A1133,customers!$C$1:C1133,,0))</f>
        <v>orobins3o@salon.com</v>
      </c>
      <c r="I134" s="2" t="str">
        <f>_xlfn.XLOOKUP(C134,customers!$A$1:$A$1001,customers!$G$1:$G$1001,,0)</f>
        <v>United States</v>
      </c>
      <c r="J134" s="2" t="str">
        <f>_xlfn.XLOOKUP(Orders[[#This Row],[Customer ID]],customers!$A$1:$A$1001,customers!$F$1:$F$1001,,0)</f>
        <v>Huntsville</v>
      </c>
      <c r="K134" t="str">
        <f>INDEX(products!$A$1:$G$49,MATCH(orders!$D134,products!$A$1:$A$49,0),MATCH(orders!K$1,products!$A$1:$G$1,0))</f>
        <v>Ara</v>
      </c>
      <c r="L134" t="str">
        <f>INDEX(products!$A$1:$G$49,MATCH(orders!$D134,products!$A$1:$A$49,0),MATCH(orders!L$1,products!$A$1:$G$1,0))</f>
        <v>L</v>
      </c>
      <c r="M134" s="14">
        <f>INDEX(products!$A$1:$G$49,MATCH(orders!$D134,products!$A$1:$A$49,0),MATCH(orders!M$1,products!$A$1:$G$1,0))</f>
        <v>2.5</v>
      </c>
      <c r="N134" s="4">
        <f>INDEX(products!$A$1:$G$49,MATCH(orders!$D134,products!$A$1:$A$49,0),MATCH(orders!N$1,products!$A$1:$G$1,0))</f>
        <v>29.784999999999997</v>
      </c>
      <c r="O134" s="13">
        <f t="shared" si="10"/>
        <v>148.92499999999998</v>
      </c>
      <c r="P134" s="13">
        <f>_xlfn.XLOOKUP(Orders[[#This Row],[Product ID]],products!$A$1:$A$49,products!$G$1:$G$49,,0)</f>
        <v>2.6806499999999995</v>
      </c>
      <c r="Q134" s="13">
        <f t="shared" si="11"/>
        <v>13.403249999999998</v>
      </c>
      <c r="R134" t="str">
        <f t="shared" si="13"/>
        <v>Arabica</v>
      </c>
      <c r="S134" t="str">
        <f t="shared" si="14"/>
        <v>Light</v>
      </c>
      <c r="T134" t="str">
        <f>_xlfn.XLOOKUP(Orders[[#This Row],[Customer ID]],customers!$A$1:$A$1001,customers!$I$1:$I$1001,,0)</f>
        <v>Yes</v>
      </c>
    </row>
    <row r="135" spans="1:20" x14ac:dyDescent="0.35">
      <c r="A135" s="2" t="s">
        <v>1239</v>
      </c>
      <c r="B135" s="3">
        <v>44340</v>
      </c>
      <c r="C135" s="2" t="s">
        <v>1240</v>
      </c>
      <c r="D135" t="s">
        <v>6143</v>
      </c>
      <c r="E135" t="str">
        <f t="shared" si="12"/>
        <v>Liberica-Dark-1</v>
      </c>
      <c r="F135" s="2">
        <v>1</v>
      </c>
      <c r="G135" s="2" t="str" cm="1">
        <f t="array" ref="G135">_xlfn.XLOOKUP(C135, customers!$A$1:A1134,customers!$B$1:B1134,,0)</f>
        <v>Othello Syseland</v>
      </c>
      <c r="H135" s="2" t="str" cm="1">
        <f t="array" ref="H135">IF(_xlfn.XLOOKUP(C135,customers!$A$1:A1134,customers!$C$1:C1134,,0) = 0,"", _xlfn.XLOOKUP(C135,customers!$A$1:A1134,customers!$C$1:C1134,,0))</f>
        <v>osyseland3p@independent.co.uk</v>
      </c>
      <c r="I135" s="2" t="str">
        <f>_xlfn.XLOOKUP(C135,customers!$A$1:$A$1001,customers!$G$1:$G$1001,,0)</f>
        <v>United States</v>
      </c>
      <c r="J135" s="2" t="str">
        <f>_xlfn.XLOOKUP(Orders[[#This Row],[Customer ID]],customers!$A$1:$A$1001,customers!$F$1:$F$1001,,0)</f>
        <v>Santa Ana</v>
      </c>
      <c r="K135" t="str">
        <f>INDEX(products!$A$1:$G$49,MATCH(orders!$D135,products!$A$1:$A$49,0),MATCH(orders!K$1,products!$A$1:$G$1,0))</f>
        <v>Lib</v>
      </c>
      <c r="L135" t="str">
        <f>INDEX(products!$A$1:$G$49,MATCH(orders!$D135,products!$A$1:$A$49,0),MATCH(orders!L$1,products!$A$1:$G$1,0))</f>
        <v>D</v>
      </c>
      <c r="M135" s="14">
        <f>INDEX(products!$A$1:$G$49,MATCH(orders!$D135,products!$A$1:$A$49,0),MATCH(orders!M$1,products!$A$1:$G$1,0))</f>
        <v>1</v>
      </c>
      <c r="N135" s="4">
        <f>INDEX(products!$A$1:$G$49,MATCH(orders!$D135,products!$A$1:$A$49,0),MATCH(orders!N$1,products!$A$1:$G$1,0))</f>
        <v>12.95</v>
      </c>
      <c r="O135" s="13">
        <f t="shared" si="10"/>
        <v>12.95</v>
      </c>
      <c r="P135" s="13">
        <f>_xlfn.XLOOKUP(Orders[[#This Row],[Product ID]],products!$A$1:$A$49,products!$G$1:$G$49,,0)</f>
        <v>1.6835</v>
      </c>
      <c r="Q135" s="13">
        <f t="shared" si="11"/>
        <v>1.6835</v>
      </c>
      <c r="R135" t="str">
        <f t="shared" si="13"/>
        <v>Liberica</v>
      </c>
      <c r="S135" t="str">
        <f t="shared" si="14"/>
        <v>Dark</v>
      </c>
      <c r="T135" t="str">
        <f>_xlfn.XLOOKUP(Orders[[#This Row],[Customer ID]],customers!$A$1:$A$1001,customers!$I$1:$I$1001,,0)</f>
        <v>No</v>
      </c>
    </row>
    <row r="136" spans="1:20" x14ac:dyDescent="0.35">
      <c r="A136" s="2" t="s">
        <v>1245</v>
      </c>
      <c r="B136" s="3">
        <v>44758</v>
      </c>
      <c r="C136" s="2" t="s">
        <v>1246</v>
      </c>
      <c r="D136" t="s">
        <v>6166</v>
      </c>
      <c r="E136" t="str">
        <f t="shared" si="12"/>
        <v>Excelsa-Medium-2.5</v>
      </c>
      <c r="F136" s="2">
        <v>3</v>
      </c>
      <c r="G136" s="2" t="str" cm="1">
        <f t="array" ref="G136">_xlfn.XLOOKUP(C136, customers!$A$1:A1135,customers!$B$1:B1135,,0)</f>
        <v>Ewell Hanby</v>
      </c>
      <c r="H136" s="2" t="str" cm="1">
        <f t="array" ref="H136">IF(_xlfn.XLOOKUP(C136,customers!$A$1:A1135,customers!$C$1:C1135,,0) = 0,"", _xlfn.XLOOKUP(C136,customers!$A$1:A1135,customers!$C$1:C1135,,0))</f>
        <v/>
      </c>
      <c r="I136" s="2" t="str">
        <f>_xlfn.XLOOKUP(C136,customers!$A$1:$A$1001,customers!$G$1:$G$1001,,0)</f>
        <v>United States</v>
      </c>
      <c r="J136" s="2" t="str">
        <f>_xlfn.XLOOKUP(Orders[[#This Row],[Customer ID]],customers!$A$1:$A$1001,customers!$F$1:$F$1001,,0)</f>
        <v>Washington</v>
      </c>
      <c r="K136" t="str">
        <f>INDEX(products!$A$1:$G$49,MATCH(orders!$D136,products!$A$1:$A$49,0),MATCH(orders!K$1,products!$A$1:$G$1,0))</f>
        <v>Exc</v>
      </c>
      <c r="L136" t="str">
        <f>INDEX(products!$A$1:$G$49,MATCH(orders!$D136,products!$A$1:$A$49,0),MATCH(orders!L$1,products!$A$1:$G$1,0))</f>
        <v>M</v>
      </c>
      <c r="M136" s="14">
        <f>INDEX(products!$A$1:$G$49,MATCH(orders!$D136,products!$A$1:$A$49,0),MATCH(orders!M$1,products!$A$1:$G$1,0))</f>
        <v>2.5</v>
      </c>
      <c r="N136" s="4">
        <f>INDEX(products!$A$1:$G$49,MATCH(orders!$D136,products!$A$1:$A$49,0),MATCH(orders!N$1,products!$A$1:$G$1,0))</f>
        <v>31.624999999999996</v>
      </c>
      <c r="O136" s="13">
        <f t="shared" si="10"/>
        <v>94.874999999999986</v>
      </c>
      <c r="P136" s="13">
        <f>_xlfn.XLOOKUP(Orders[[#This Row],[Product ID]],products!$A$1:$A$49,products!$G$1:$G$49,,0)</f>
        <v>3.4787499999999998</v>
      </c>
      <c r="Q136" s="13">
        <f t="shared" si="11"/>
        <v>10.436249999999999</v>
      </c>
      <c r="R136" t="str">
        <f t="shared" si="13"/>
        <v>Execelsa</v>
      </c>
      <c r="S136" t="str">
        <f t="shared" si="14"/>
        <v>Medium</v>
      </c>
      <c r="T136" t="str">
        <f>_xlfn.XLOOKUP(Orders[[#This Row],[Customer ID]],customers!$A$1:$A$1001,customers!$I$1:$I$1001,,0)</f>
        <v>Yes</v>
      </c>
    </row>
    <row r="137" spans="1:20" x14ac:dyDescent="0.35">
      <c r="A137" s="2" t="s">
        <v>1249</v>
      </c>
      <c r="B137" s="3">
        <v>44232</v>
      </c>
      <c r="C137" s="2" t="s">
        <v>976</v>
      </c>
      <c r="D137" t="s">
        <v>6180</v>
      </c>
      <c r="E137" t="str">
        <f t="shared" si="12"/>
        <v>Arabica-Light-0.5</v>
      </c>
      <c r="F137" s="2">
        <v>5</v>
      </c>
      <c r="G137" s="2" t="str" cm="1">
        <f t="array" ref="G137">_xlfn.XLOOKUP(C137, customers!$A$1:A1136,customers!$B$1:B1136,,0)</f>
        <v>Blancha McAmish</v>
      </c>
      <c r="H137" s="2" t="str" cm="1">
        <f t="array" ref="H137">IF(_xlfn.XLOOKUP(C137,customers!$A$1:A1136,customers!$C$1:C1136,,0) = 0,"", _xlfn.XLOOKUP(C137,customers!$A$1:A1136,customers!$C$1:C1136,,0))</f>
        <v>bmcamish2e@tripadvisor.com</v>
      </c>
      <c r="I137" s="2" t="str">
        <f>_xlfn.XLOOKUP(C137,customers!$A$1:$A$1001,customers!$G$1:$G$1001,,0)</f>
        <v>United States</v>
      </c>
      <c r="J137" s="2" t="str">
        <f>_xlfn.XLOOKUP(Orders[[#This Row],[Customer ID]],customers!$A$1:$A$1001,customers!$F$1:$F$1001,,0)</f>
        <v>Oklahoma City</v>
      </c>
      <c r="K137" t="str">
        <f>INDEX(products!$A$1:$G$49,MATCH(orders!$D137,products!$A$1:$A$49,0),MATCH(orders!K$1,products!$A$1:$G$1,0))</f>
        <v>Ara</v>
      </c>
      <c r="L137" t="str">
        <f>INDEX(products!$A$1:$G$49,MATCH(orders!$D137,products!$A$1:$A$49,0),MATCH(orders!L$1,products!$A$1:$G$1,0))</f>
        <v>L</v>
      </c>
      <c r="M137" s="14">
        <f>INDEX(products!$A$1:$G$49,MATCH(orders!$D137,products!$A$1:$A$49,0),MATCH(orders!M$1,products!$A$1:$G$1,0))</f>
        <v>0.5</v>
      </c>
      <c r="N137" s="4">
        <f>INDEX(products!$A$1:$G$49,MATCH(orders!$D137,products!$A$1:$A$49,0),MATCH(orders!N$1,products!$A$1:$G$1,0))</f>
        <v>7.77</v>
      </c>
      <c r="O137" s="13">
        <f t="shared" si="10"/>
        <v>38.849999999999994</v>
      </c>
      <c r="P137" s="13">
        <f>_xlfn.XLOOKUP(Orders[[#This Row],[Product ID]],products!$A$1:$A$49,products!$G$1:$G$49,,0)</f>
        <v>0.69929999999999992</v>
      </c>
      <c r="Q137" s="13">
        <f t="shared" si="11"/>
        <v>3.4964999999999997</v>
      </c>
      <c r="R137" t="str">
        <f t="shared" si="13"/>
        <v>Arabica</v>
      </c>
      <c r="S137" t="str">
        <f t="shared" si="14"/>
        <v>Light</v>
      </c>
      <c r="T137" t="str">
        <f>_xlfn.XLOOKUP(Orders[[#This Row],[Customer ID]],customers!$A$1:$A$1001,customers!$I$1:$I$1001,,0)</f>
        <v>Yes</v>
      </c>
    </row>
    <row r="138" spans="1:20" x14ac:dyDescent="0.35">
      <c r="A138" s="2" t="s">
        <v>1255</v>
      </c>
      <c r="B138" s="3">
        <v>44406</v>
      </c>
      <c r="C138" s="2" t="s">
        <v>1256</v>
      </c>
      <c r="D138" t="s">
        <v>6154</v>
      </c>
      <c r="E138" t="str">
        <f t="shared" si="12"/>
        <v>Arabica-Dark-0.2</v>
      </c>
      <c r="F138" s="2">
        <v>4</v>
      </c>
      <c r="G138" s="2" t="str" cm="1">
        <f t="array" ref="G138">_xlfn.XLOOKUP(C138, customers!$A$1:A1137,customers!$B$1:B1137,,0)</f>
        <v>Lowell Keenleyside</v>
      </c>
      <c r="H138" s="2" t="str" cm="1">
        <f t="array" ref="H138">IF(_xlfn.XLOOKUP(C138,customers!$A$1:A1137,customers!$C$1:C1137,,0) = 0,"", _xlfn.XLOOKUP(C138,customers!$A$1:A1137,customers!$C$1:C1137,,0))</f>
        <v>lkeenleyside3s@topsy.com</v>
      </c>
      <c r="I138" s="2" t="str">
        <f>_xlfn.XLOOKUP(C138,customers!$A$1:$A$1001,customers!$G$1:$G$1001,,0)</f>
        <v>United States</v>
      </c>
      <c r="J138" s="2" t="str">
        <f>_xlfn.XLOOKUP(Orders[[#This Row],[Customer ID]],customers!$A$1:$A$1001,customers!$F$1:$F$1001,,0)</f>
        <v>Saint Louis</v>
      </c>
      <c r="K138" t="str">
        <f>INDEX(products!$A$1:$G$49,MATCH(orders!$D138,products!$A$1:$A$49,0),MATCH(orders!K$1,products!$A$1:$G$1,0))</f>
        <v>Ara</v>
      </c>
      <c r="L138" t="str">
        <f>INDEX(products!$A$1:$G$49,MATCH(orders!$D138,products!$A$1:$A$49,0),MATCH(orders!L$1,products!$A$1:$G$1,0))</f>
        <v>D</v>
      </c>
      <c r="M138" s="14">
        <f>INDEX(products!$A$1:$G$49,MATCH(orders!$D138,products!$A$1:$A$49,0),MATCH(orders!M$1,products!$A$1:$G$1,0))</f>
        <v>0.2</v>
      </c>
      <c r="N138" s="4">
        <f>INDEX(products!$A$1:$G$49,MATCH(orders!$D138,products!$A$1:$A$49,0),MATCH(orders!N$1,products!$A$1:$G$1,0))</f>
        <v>2.9849999999999999</v>
      </c>
      <c r="O138" s="13">
        <f t="shared" si="10"/>
        <v>11.94</v>
      </c>
      <c r="P138" s="13">
        <f>_xlfn.XLOOKUP(Orders[[#This Row],[Product ID]],products!$A$1:$A$49,products!$G$1:$G$49,,0)</f>
        <v>0.26865</v>
      </c>
      <c r="Q138" s="13">
        <f t="shared" si="11"/>
        <v>1.0746</v>
      </c>
      <c r="R138" t="str">
        <f t="shared" si="13"/>
        <v>Arabica</v>
      </c>
      <c r="S138" t="str">
        <f t="shared" si="14"/>
        <v>Dark</v>
      </c>
      <c r="T138" t="str">
        <f>_xlfn.XLOOKUP(Orders[[#This Row],[Customer ID]],customers!$A$1:$A$1001,customers!$I$1:$I$1001,,0)</f>
        <v>No</v>
      </c>
    </row>
    <row r="139" spans="1:20" x14ac:dyDescent="0.35">
      <c r="A139" s="2" t="s">
        <v>1261</v>
      </c>
      <c r="B139" s="3">
        <v>44637</v>
      </c>
      <c r="C139" s="2" t="s">
        <v>1262</v>
      </c>
      <c r="D139" t="s">
        <v>6148</v>
      </c>
      <c r="E139" t="str">
        <f t="shared" si="12"/>
        <v>Excelsa-Light-2.5</v>
      </c>
      <c r="F139" s="2">
        <v>3</v>
      </c>
      <c r="G139" s="2" t="str" cm="1">
        <f t="array" ref="G139">_xlfn.XLOOKUP(C139, customers!$A$1:A1138,customers!$B$1:B1138,,0)</f>
        <v>Elonore Joliffe</v>
      </c>
      <c r="H139" s="2" t="str" cm="1">
        <f t="array" ref="H139">IF(_xlfn.XLOOKUP(C139,customers!$A$1:A1138,customers!$C$1:C1138,,0) = 0,"", _xlfn.XLOOKUP(C139,customers!$A$1:A1138,customers!$C$1:C1138,,0))</f>
        <v/>
      </c>
      <c r="I139" s="2" t="str">
        <f>_xlfn.XLOOKUP(C139,customers!$A$1:$A$1001,customers!$G$1:$G$1001,,0)</f>
        <v>Ireland</v>
      </c>
      <c r="J139" s="2" t="str">
        <f>_xlfn.XLOOKUP(Orders[[#This Row],[Customer ID]],customers!$A$1:$A$1001,customers!$F$1:$F$1001,,0)</f>
        <v>Bailieborough</v>
      </c>
      <c r="K139" t="str">
        <f>INDEX(products!$A$1:$G$49,MATCH(orders!$D139,products!$A$1:$A$49,0),MATCH(orders!K$1,products!$A$1:$G$1,0))</f>
        <v>Exc</v>
      </c>
      <c r="L139" t="str">
        <f>INDEX(products!$A$1:$G$49,MATCH(orders!$D139,products!$A$1:$A$49,0),MATCH(orders!L$1,products!$A$1:$G$1,0))</f>
        <v>L</v>
      </c>
      <c r="M139" s="14">
        <f>INDEX(products!$A$1:$G$49,MATCH(orders!$D139,products!$A$1:$A$49,0),MATCH(orders!M$1,products!$A$1:$G$1,0))</f>
        <v>2.5</v>
      </c>
      <c r="N139" s="4">
        <f>INDEX(products!$A$1:$G$49,MATCH(orders!$D139,products!$A$1:$A$49,0),MATCH(orders!N$1,products!$A$1:$G$1,0))</f>
        <v>34.154999999999994</v>
      </c>
      <c r="O139" s="13">
        <f t="shared" si="10"/>
        <v>102.46499999999997</v>
      </c>
      <c r="P139" s="13">
        <f>_xlfn.XLOOKUP(Orders[[#This Row],[Product ID]],products!$A$1:$A$49,products!$G$1:$G$49,,0)</f>
        <v>3.7570499999999996</v>
      </c>
      <c r="Q139" s="13">
        <f t="shared" si="11"/>
        <v>11.271149999999999</v>
      </c>
      <c r="R139" t="str">
        <f t="shared" si="13"/>
        <v>Execelsa</v>
      </c>
      <c r="S139" t="str">
        <f t="shared" si="14"/>
        <v>Light</v>
      </c>
      <c r="T139" t="str">
        <f>_xlfn.XLOOKUP(Orders[[#This Row],[Customer ID]],customers!$A$1:$A$1001,customers!$I$1:$I$1001,,0)</f>
        <v>No</v>
      </c>
    </row>
    <row r="140" spans="1:20" x14ac:dyDescent="0.35">
      <c r="A140" s="2" t="s">
        <v>1266</v>
      </c>
      <c r="B140" s="3">
        <v>44238</v>
      </c>
      <c r="C140" s="2" t="s">
        <v>1267</v>
      </c>
      <c r="D140" t="s">
        <v>6183</v>
      </c>
      <c r="E140" t="str">
        <f t="shared" si="12"/>
        <v>Excelsa-Dark-1</v>
      </c>
      <c r="F140" s="2">
        <v>4</v>
      </c>
      <c r="G140" s="2" t="str" cm="1">
        <f t="array" ref="G140">_xlfn.XLOOKUP(C140, customers!$A$1:A1139,customers!$B$1:B1139,,0)</f>
        <v>Abraham Coleman</v>
      </c>
      <c r="H140" s="2" t="str" cm="1">
        <f t="array" ref="H140">IF(_xlfn.XLOOKUP(C140,customers!$A$1:A1139,customers!$C$1:C1139,,0) = 0,"", _xlfn.XLOOKUP(C140,customers!$A$1:A1139,customers!$C$1:C1139,,0))</f>
        <v/>
      </c>
      <c r="I140" s="2" t="str">
        <f>_xlfn.XLOOKUP(C140,customers!$A$1:$A$1001,customers!$G$1:$G$1001,,0)</f>
        <v>United States</v>
      </c>
      <c r="J140" s="2" t="str">
        <f>_xlfn.XLOOKUP(Orders[[#This Row],[Customer ID]],customers!$A$1:$A$1001,customers!$F$1:$F$1001,,0)</f>
        <v>Honolulu</v>
      </c>
      <c r="K140" t="str">
        <f>INDEX(products!$A$1:$G$49,MATCH(orders!$D140,products!$A$1:$A$49,0),MATCH(orders!K$1,products!$A$1:$G$1,0))</f>
        <v>Exc</v>
      </c>
      <c r="L140" t="str">
        <f>INDEX(products!$A$1:$G$49,MATCH(orders!$D140,products!$A$1:$A$49,0),MATCH(orders!L$1,products!$A$1:$G$1,0))</f>
        <v>D</v>
      </c>
      <c r="M140" s="14">
        <f>INDEX(products!$A$1:$G$49,MATCH(orders!$D140,products!$A$1:$A$49,0),MATCH(orders!M$1,products!$A$1:$G$1,0))</f>
        <v>1</v>
      </c>
      <c r="N140" s="4">
        <f>INDEX(products!$A$1:$G$49,MATCH(orders!$D140,products!$A$1:$A$49,0),MATCH(orders!N$1,products!$A$1:$G$1,0))</f>
        <v>12.15</v>
      </c>
      <c r="O140" s="13">
        <f t="shared" si="10"/>
        <v>48.6</v>
      </c>
      <c r="P140" s="13">
        <f>_xlfn.XLOOKUP(Orders[[#This Row],[Product ID]],products!$A$1:$A$49,products!$G$1:$G$49,,0)</f>
        <v>1.3365</v>
      </c>
      <c r="Q140" s="13">
        <f t="shared" si="11"/>
        <v>5.3460000000000001</v>
      </c>
      <c r="R140" t="str">
        <f t="shared" si="13"/>
        <v>Execelsa</v>
      </c>
      <c r="S140" t="str">
        <f t="shared" si="14"/>
        <v>Dark</v>
      </c>
      <c r="T140" t="str">
        <f>_xlfn.XLOOKUP(Orders[[#This Row],[Customer ID]],customers!$A$1:$A$1001,customers!$I$1:$I$1001,,0)</f>
        <v>No</v>
      </c>
    </row>
    <row r="141" spans="1:20" x14ac:dyDescent="0.35">
      <c r="A141" s="2" t="s">
        <v>1271</v>
      </c>
      <c r="B141" s="3">
        <v>43509</v>
      </c>
      <c r="C141" s="2" t="s">
        <v>1272</v>
      </c>
      <c r="D141" t="s">
        <v>6143</v>
      </c>
      <c r="E141" t="str">
        <f t="shared" si="12"/>
        <v>Liberica-Dark-1</v>
      </c>
      <c r="F141" s="2">
        <v>6</v>
      </c>
      <c r="G141" s="2" t="str" cm="1">
        <f t="array" ref="G141">_xlfn.XLOOKUP(C141, customers!$A$1:A1140,customers!$B$1:B1140,,0)</f>
        <v>Rivy Farington</v>
      </c>
      <c r="H141" s="2" t="str" cm="1">
        <f t="array" ref="H141">IF(_xlfn.XLOOKUP(C141,customers!$A$1:A1140,customers!$C$1:C1140,,0) = 0,"", _xlfn.XLOOKUP(C141,customers!$A$1:A1140,customers!$C$1:C1140,,0))</f>
        <v/>
      </c>
      <c r="I141" s="2" t="str">
        <f>_xlfn.XLOOKUP(C141,customers!$A$1:$A$1001,customers!$G$1:$G$1001,,0)</f>
        <v>United States</v>
      </c>
      <c r="J141" s="2" t="str">
        <f>_xlfn.XLOOKUP(Orders[[#This Row],[Customer ID]],customers!$A$1:$A$1001,customers!$F$1:$F$1001,,0)</f>
        <v>Corona</v>
      </c>
      <c r="K141" t="str">
        <f>INDEX(products!$A$1:$G$49,MATCH(orders!$D141,products!$A$1:$A$49,0),MATCH(orders!K$1,products!$A$1:$G$1,0))</f>
        <v>Lib</v>
      </c>
      <c r="L141" t="str">
        <f>INDEX(products!$A$1:$G$49,MATCH(orders!$D141,products!$A$1:$A$49,0),MATCH(orders!L$1,products!$A$1:$G$1,0))</f>
        <v>D</v>
      </c>
      <c r="M141" s="14">
        <f>INDEX(products!$A$1:$G$49,MATCH(orders!$D141,products!$A$1:$A$49,0),MATCH(orders!M$1,products!$A$1:$G$1,0))</f>
        <v>1</v>
      </c>
      <c r="N141" s="4">
        <f>INDEX(products!$A$1:$G$49,MATCH(orders!$D141,products!$A$1:$A$49,0),MATCH(orders!N$1,products!$A$1:$G$1,0))</f>
        <v>12.95</v>
      </c>
      <c r="O141" s="13">
        <f t="shared" si="10"/>
        <v>77.699999999999989</v>
      </c>
      <c r="P141" s="13">
        <f>_xlfn.XLOOKUP(Orders[[#This Row],[Product ID]],products!$A$1:$A$49,products!$G$1:$G$49,,0)</f>
        <v>1.6835</v>
      </c>
      <c r="Q141" s="13">
        <f t="shared" si="11"/>
        <v>10.100999999999999</v>
      </c>
      <c r="R141" t="str">
        <f t="shared" si="13"/>
        <v>Liberica</v>
      </c>
      <c r="S141" t="str">
        <f t="shared" si="14"/>
        <v>Dark</v>
      </c>
      <c r="T141" t="str">
        <f>_xlfn.XLOOKUP(Orders[[#This Row],[Customer ID]],customers!$A$1:$A$1001,customers!$I$1:$I$1001,,0)</f>
        <v>Yes</v>
      </c>
    </row>
    <row r="142" spans="1:20" x14ac:dyDescent="0.35">
      <c r="A142" s="2" t="s">
        <v>1276</v>
      </c>
      <c r="B142" s="3">
        <v>44694</v>
      </c>
      <c r="C142" s="2" t="s">
        <v>1277</v>
      </c>
      <c r="D142" t="s">
        <v>6165</v>
      </c>
      <c r="E142" t="str">
        <f t="shared" si="12"/>
        <v>Liberica-Dark-2.5</v>
      </c>
      <c r="F142" s="2">
        <v>1</v>
      </c>
      <c r="G142" s="2" t="str" cm="1">
        <f t="array" ref="G142">_xlfn.XLOOKUP(C142, customers!$A$1:A1141,customers!$B$1:B1141,,0)</f>
        <v>Vallie Kundt</v>
      </c>
      <c r="H142" s="2" t="str" cm="1">
        <f t="array" ref="H142">IF(_xlfn.XLOOKUP(C142,customers!$A$1:A1141,customers!$C$1:C1141,,0) = 0,"", _xlfn.XLOOKUP(C142,customers!$A$1:A1141,customers!$C$1:C1141,,0))</f>
        <v>vkundt3w@bigcartel.com</v>
      </c>
      <c r="I142" s="2" t="str">
        <f>_xlfn.XLOOKUP(C142,customers!$A$1:$A$1001,customers!$G$1:$G$1001,,0)</f>
        <v>Ireland</v>
      </c>
      <c r="J142" s="2" t="str">
        <f>_xlfn.XLOOKUP(Orders[[#This Row],[Customer ID]],customers!$A$1:$A$1001,customers!$F$1:$F$1001,,0)</f>
        <v>Ballivor</v>
      </c>
      <c r="K142" t="str">
        <f>INDEX(products!$A$1:$G$49,MATCH(orders!$D142,products!$A$1:$A$49,0),MATCH(orders!K$1,products!$A$1:$G$1,0))</f>
        <v>Lib</v>
      </c>
      <c r="L142" t="str">
        <f>INDEX(products!$A$1:$G$49,MATCH(orders!$D142,products!$A$1:$A$49,0),MATCH(orders!L$1,products!$A$1:$G$1,0))</f>
        <v>D</v>
      </c>
      <c r="M142" s="14">
        <f>INDEX(products!$A$1:$G$49,MATCH(orders!$D142,products!$A$1:$A$49,0),MATCH(orders!M$1,products!$A$1:$G$1,0))</f>
        <v>2.5</v>
      </c>
      <c r="N142" s="4">
        <f>INDEX(products!$A$1:$G$49,MATCH(orders!$D142,products!$A$1:$A$49,0),MATCH(orders!N$1,products!$A$1:$G$1,0))</f>
        <v>29.784999999999997</v>
      </c>
      <c r="O142" s="13">
        <f t="shared" si="10"/>
        <v>29.784999999999997</v>
      </c>
      <c r="P142" s="13">
        <f>_xlfn.XLOOKUP(Orders[[#This Row],[Product ID]],products!$A$1:$A$49,products!$G$1:$G$49,,0)</f>
        <v>3.8720499999999998</v>
      </c>
      <c r="Q142" s="13">
        <f t="shared" si="11"/>
        <v>3.8720499999999998</v>
      </c>
      <c r="R142" t="str">
        <f t="shared" si="13"/>
        <v>Liberica</v>
      </c>
      <c r="S142" t="str">
        <f t="shared" si="14"/>
        <v>Dark</v>
      </c>
      <c r="T142" t="str">
        <f>_xlfn.XLOOKUP(Orders[[#This Row],[Customer ID]],customers!$A$1:$A$1001,customers!$I$1:$I$1001,,0)</f>
        <v>Yes</v>
      </c>
    </row>
    <row r="143" spans="1:20" x14ac:dyDescent="0.35">
      <c r="A143" s="2" t="s">
        <v>1283</v>
      </c>
      <c r="B143" s="3">
        <v>43970</v>
      </c>
      <c r="C143" s="2" t="s">
        <v>1284</v>
      </c>
      <c r="D143" t="s">
        <v>6167</v>
      </c>
      <c r="E143" t="str">
        <f t="shared" si="12"/>
        <v>Arabica-Light-0.2</v>
      </c>
      <c r="F143" s="2">
        <v>4</v>
      </c>
      <c r="G143" s="2" t="str" cm="1">
        <f t="array" ref="G143">_xlfn.XLOOKUP(C143, customers!$A$1:A1142,customers!$B$1:B1142,,0)</f>
        <v>Boyd Bett</v>
      </c>
      <c r="H143" s="2" t="str" cm="1">
        <f t="array" ref="H143">IF(_xlfn.XLOOKUP(C143,customers!$A$1:A1142,customers!$C$1:C1142,,0) = 0,"", _xlfn.XLOOKUP(C143,customers!$A$1:A1142,customers!$C$1:C1142,,0))</f>
        <v>bbett3x@google.de</v>
      </c>
      <c r="I143" s="2" t="str">
        <f>_xlfn.XLOOKUP(C143,customers!$A$1:$A$1001,customers!$G$1:$G$1001,,0)</f>
        <v>United States</v>
      </c>
      <c r="J143" s="2" t="str">
        <f>_xlfn.XLOOKUP(Orders[[#This Row],[Customer ID]],customers!$A$1:$A$1001,customers!$F$1:$F$1001,,0)</f>
        <v>Washington</v>
      </c>
      <c r="K143" t="str">
        <f>INDEX(products!$A$1:$G$49,MATCH(orders!$D143,products!$A$1:$A$49,0),MATCH(orders!K$1,products!$A$1:$G$1,0))</f>
        <v>Ara</v>
      </c>
      <c r="L143" t="str">
        <f>INDEX(products!$A$1:$G$49,MATCH(orders!$D143,products!$A$1:$A$49,0),MATCH(orders!L$1,products!$A$1:$G$1,0))</f>
        <v>L</v>
      </c>
      <c r="M143" s="14">
        <f>INDEX(products!$A$1:$G$49,MATCH(orders!$D143,products!$A$1:$A$49,0),MATCH(orders!M$1,products!$A$1:$G$1,0))</f>
        <v>0.2</v>
      </c>
      <c r="N143" s="4">
        <f>INDEX(products!$A$1:$G$49,MATCH(orders!$D143,products!$A$1:$A$49,0),MATCH(orders!N$1,products!$A$1:$G$1,0))</f>
        <v>3.8849999999999998</v>
      </c>
      <c r="O143" s="13">
        <f t="shared" si="10"/>
        <v>15.54</v>
      </c>
      <c r="P143" s="13">
        <f>_xlfn.XLOOKUP(Orders[[#This Row],[Product ID]],products!$A$1:$A$49,products!$G$1:$G$49,,0)</f>
        <v>0.34964999999999996</v>
      </c>
      <c r="Q143" s="13">
        <f t="shared" si="11"/>
        <v>1.3985999999999998</v>
      </c>
      <c r="R143" t="str">
        <f t="shared" si="13"/>
        <v>Arabica</v>
      </c>
      <c r="S143" t="str">
        <f t="shared" si="14"/>
        <v>Light</v>
      </c>
      <c r="T143" t="str">
        <f>_xlfn.XLOOKUP(Orders[[#This Row],[Customer ID]],customers!$A$1:$A$1001,customers!$I$1:$I$1001,,0)</f>
        <v>Yes</v>
      </c>
    </row>
    <row r="144" spans="1:20" x14ac:dyDescent="0.35">
      <c r="A144" s="2" t="s">
        <v>1289</v>
      </c>
      <c r="B144" s="3">
        <v>44678</v>
      </c>
      <c r="C144" s="2" t="s">
        <v>1290</v>
      </c>
      <c r="D144" t="s">
        <v>6148</v>
      </c>
      <c r="E144" t="str">
        <f t="shared" si="12"/>
        <v>Excelsa-Light-2.5</v>
      </c>
      <c r="F144" s="2">
        <v>4</v>
      </c>
      <c r="G144" s="2" t="str" cm="1">
        <f t="array" ref="G144">_xlfn.XLOOKUP(C144, customers!$A$1:A1143,customers!$B$1:B1143,,0)</f>
        <v>Julio Armytage</v>
      </c>
      <c r="H144" s="2" t="str" cm="1">
        <f t="array" ref="H144">IF(_xlfn.XLOOKUP(C144,customers!$A$1:A1143,customers!$C$1:C1143,,0) = 0,"", _xlfn.XLOOKUP(C144,customers!$A$1:A1143,customers!$C$1:C1143,,0))</f>
        <v/>
      </c>
      <c r="I144" s="2" t="str">
        <f>_xlfn.XLOOKUP(C144,customers!$A$1:$A$1001,customers!$G$1:$G$1001,,0)</f>
        <v>Ireland</v>
      </c>
      <c r="J144" s="2" t="str">
        <f>_xlfn.XLOOKUP(Orders[[#This Row],[Customer ID]],customers!$A$1:$A$1001,customers!$F$1:$F$1001,,0)</f>
        <v>Portumna</v>
      </c>
      <c r="K144" t="str">
        <f>INDEX(products!$A$1:$G$49,MATCH(orders!$D144,products!$A$1:$A$49,0),MATCH(orders!K$1,products!$A$1:$G$1,0))</f>
        <v>Exc</v>
      </c>
      <c r="L144" t="str">
        <f>INDEX(products!$A$1:$G$49,MATCH(orders!$D144,products!$A$1:$A$49,0),MATCH(orders!L$1,products!$A$1:$G$1,0))</f>
        <v>L</v>
      </c>
      <c r="M144" s="14">
        <f>INDEX(products!$A$1:$G$49,MATCH(orders!$D144,products!$A$1:$A$49,0),MATCH(orders!M$1,products!$A$1:$G$1,0))</f>
        <v>2.5</v>
      </c>
      <c r="N144" s="4">
        <f>INDEX(products!$A$1:$G$49,MATCH(orders!$D144,products!$A$1:$A$49,0),MATCH(orders!N$1,products!$A$1:$G$1,0))</f>
        <v>34.154999999999994</v>
      </c>
      <c r="O144" s="13">
        <f t="shared" si="10"/>
        <v>136.61999999999998</v>
      </c>
      <c r="P144" s="13">
        <f>_xlfn.XLOOKUP(Orders[[#This Row],[Product ID]],products!$A$1:$A$49,products!$G$1:$G$49,,0)</f>
        <v>3.7570499999999996</v>
      </c>
      <c r="Q144" s="13">
        <f t="shared" si="11"/>
        <v>15.028199999999998</v>
      </c>
      <c r="R144" t="str">
        <f t="shared" si="13"/>
        <v>Execelsa</v>
      </c>
      <c r="S144" t="str">
        <f t="shared" si="14"/>
        <v>Light</v>
      </c>
      <c r="T144" t="str">
        <f>_xlfn.XLOOKUP(Orders[[#This Row],[Customer ID]],customers!$A$1:$A$1001,customers!$I$1:$I$1001,,0)</f>
        <v>Yes</v>
      </c>
    </row>
    <row r="145" spans="1:20" x14ac:dyDescent="0.35">
      <c r="A145" s="2" t="s">
        <v>1293</v>
      </c>
      <c r="B145" s="3">
        <v>44083</v>
      </c>
      <c r="C145" s="2" t="s">
        <v>1294</v>
      </c>
      <c r="D145" t="s">
        <v>6160</v>
      </c>
      <c r="E145" t="str">
        <f t="shared" si="12"/>
        <v>Liberica-Medium-0.5</v>
      </c>
      <c r="F145" s="2">
        <v>2</v>
      </c>
      <c r="G145" s="2" t="str" cm="1">
        <f t="array" ref="G145">_xlfn.XLOOKUP(C145, customers!$A$1:A1144,customers!$B$1:B1144,,0)</f>
        <v>Deana Staite</v>
      </c>
      <c r="H145" s="2" t="str" cm="1">
        <f t="array" ref="H145">IF(_xlfn.XLOOKUP(C145,customers!$A$1:A1144,customers!$C$1:C1144,,0) = 0,"", _xlfn.XLOOKUP(C145,customers!$A$1:A1144,customers!$C$1:C1144,,0))</f>
        <v>dstaite3z@scientificamerican.com</v>
      </c>
      <c r="I145" s="2" t="str">
        <f>_xlfn.XLOOKUP(C145,customers!$A$1:$A$1001,customers!$G$1:$G$1001,,0)</f>
        <v>United States</v>
      </c>
      <c r="J145" s="2" t="str">
        <f>_xlfn.XLOOKUP(Orders[[#This Row],[Customer ID]],customers!$A$1:$A$1001,customers!$F$1:$F$1001,,0)</f>
        <v>Houston</v>
      </c>
      <c r="K145" t="str">
        <f>INDEX(products!$A$1:$G$49,MATCH(orders!$D145,products!$A$1:$A$49,0),MATCH(orders!K$1,products!$A$1:$G$1,0))</f>
        <v>Lib</v>
      </c>
      <c r="L145" t="str">
        <f>INDEX(products!$A$1:$G$49,MATCH(orders!$D145,products!$A$1:$A$49,0),MATCH(orders!L$1,products!$A$1:$G$1,0))</f>
        <v>M</v>
      </c>
      <c r="M145" s="14">
        <f>INDEX(products!$A$1:$G$49,MATCH(orders!$D145,products!$A$1:$A$49,0),MATCH(orders!M$1,products!$A$1:$G$1,0))</f>
        <v>0.5</v>
      </c>
      <c r="N145" s="4">
        <f>INDEX(products!$A$1:$G$49,MATCH(orders!$D145,products!$A$1:$A$49,0),MATCH(orders!N$1,products!$A$1:$G$1,0))</f>
        <v>8.73</v>
      </c>
      <c r="O145" s="13">
        <f t="shared" si="10"/>
        <v>17.46</v>
      </c>
      <c r="P145" s="13">
        <f>_xlfn.XLOOKUP(Orders[[#This Row],[Product ID]],products!$A$1:$A$49,products!$G$1:$G$49,,0)</f>
        <v>1.1349</v>
      </c>
      <c r="Q145" s="13">
        <f t="shared" si="11"/>
        <v>2.2698</v>
      </c>
      <c r="R145" t="str">
        <f t="shared" si="13"/>
        <v>Liberica</v>
      </c>
      <c r="S145" t="str">
        <f t="shared" si="14"/>
        <v>Medium</v>
      </c>
      <c r="T145" t="str">
        <f>_xlfn.XLOOKUP(Orders[[#This Row],[Customer ID]],customers!$A$1:$A$1001,customers!$I$1:$I$1001,,0)</f>
        <v>No</v>
      </c>
    </row>
    <row r="146" spans="1:20" x14ac:dyDescent="0.35">
      <c r="A146" s="2" t="s">
        <v>1299</v>
      </c>
      <c r="B146" s="3">
        <v>44265</v>
      </c>
      <c r="C146" s="2" t="s">
        <v>1300</v>
      </c>
      <c r="D146" t="s">
        <v>6148</v>
      </c>
      <c r="E146" t="str">
        <f t="shared" si="12"/>
        <v>Excelsa-Light-2.5</v>
      </c>
      <c r="F146" s="2">
        <v>2</v>
      </c>
      <c r="G146" s="2" t="str" cm="1">
        <f t="array" ref="G146">_xlfn.XLOOKUP(C146, customers!$A$1:A1145,customers!$B$1:B1145,,0)</f>
        <v>Winn Keyse</v>
      </c>
      <c r="H146" s="2" t="str" cm="1">
        <f t="array" ref="H146">IF(_xlfn.XLOOKUP(C146,customers!$A$1:A1145,customers!$C$1:C1145,,0) = 0,"", _xlfn.XLOOKUP(C146,customers!$A$1:A1145,customers!$C$1:C1145,,0))</f>
        <v>wkeyse40@apple.com</v>
      </c>
      <c r="I146" s="2" t="str">
        <f>_xlfn.XLOOKUP(C146,customers!$A$1:$A$1001,customers!$G$1:$G$1001,,0)</f>
        <v>United States</v>
      </c>
      <c r="J146" s="2" t="str">
        <f>_xlfn.XLOOKUP(Orders[[#This Row],[Customer ID]],customers!$A$1:$A$1001,customers!$F$1:$F$1001,,0)</f>
        <v>Orange</v>
      </c>
      <c r="K146" t="str">
        <f>INDEX(products!$A$1:$G$49,MATCH(orders!$D146,products!$A$1:$A$49,0),MATCH(orders!K$1,products!$A$1:$G$1,0))</f>
        <v>Exc</v>
      </c>
      <c r="L146" t="str">
        <f>INDEX(products!$A$1:$G$49,MATCH(orders!$D146,products!$A$1:$A$49,0),MATCH(orders!L$1,products!$A$1:$G$1,0))</f>
        <v>L</v>
      </c>
      <c r="M146" s="14">
        <f>INDEX(products!$A$1:$G$49,MATCH(orders!$D146,products!$A$1:$A$49,0),MATCH(orders!M$1,products!$A$1:$G$1,0))</f>
        <v>2.5</v>
      </c>
      <c r="N146" s="4">
        <f>INDEX(products!$A$1:$G$49,MATCH(orders!$D146,products!$A$1:$A$49,0),MATCH(orders!N$1,products!$A$1:$G$1,0))</f>
        <v>34.154999999999994</v>
      </c>
      <c r="O146" s="13">
        <f t="shared" si="10"/>
        <v>68.309999999999988</v>
      </c>
      <c r="P146" s="13">
        <f>_xlfn.XLOOKUP(Orders[[#This Row],[Product ID]],products!$A$1:$A$49,products!$G$1:$G$49,,0)</f>
        <v>3.7570499999999996</v>
      </c>
      <c r="Q146" s="13">
        <f t="shared" si="11"/>
        <v>7.5140999999999991</v>
      </c>
      <c r="R146" t="str">
        <f t="shared" si="13"/>
        <v>Execelsa</v>
      </c>
      <c r="S146" t="str">
        <f t="shared" si="14"/>
        <v>Light</v>
      </c>
      <c r="T146" t="str">
        <f>_xlfn.XLOOKUP(Orders[[#This Row],[Customer ID]],customers!$A$1:$A$1001,customers!$I$1:$I$1001,,0)</f>
        <v>Yes</v>
      </c>
    </row>
    <row r="147" spans="1:20" x14ac:dyDescent="0.35">
      <c r="A147" s="2" t="s">
        <v>1305</v>
      </c>
      <c r="B147" s="3">
        <v>43562</v>
      </c>
      <c r="C147" s="2" t="s">
        <v>1306</v>
      </c>
      <c r="D147" t="s">
        <v>6159</v>
      </c>
      <c r="E147" t="str">
        <f t="shared" si="12"/>
        <v>Liberica-Medium-0.2</v>
      </c>
      <c r="F147" s="2">
        <v>4</v>
      </c>
      <c r="G147" s="2" t="str" cm="1">
        <f t="array" ref="G147">_xlfn.XLOOKUP(C147, customers!$A$1:A1146,customers!$B$1:B1146,,0)</f>
        <v>Osmund Clausen-Thue</v>
      </c>
      <c r="H147" s="2" t="str" cm="1">
        <f t="array" ref="H147">IF(_xlfn.XLOOKUP(C147,customers!$A$1:A1146,customers!$C$1:C1146,,0) = 0,"", _xlfn.XLOOKUP(C147,customers!$A$1:A1146,customers!$C$1:C1146,,0))</f>
        <v>oclausenthue41@marriott.com</v>
      </c>
      <c r="I147" s="2" t="str">
        <f>_xlfn.XLOOKUP(C147,customers!$A$1:$A$1001,customers!$G$1:$G$1001,,0)</f>
        <v>United States</v>
      </c>
      <c r="J147" s="2" t="str">
        <f>_xlfn.XLOOKUP(Orders[[#This Row],[Customer ID]],customers!$A$1:$A$1001,customers!$F$1:$F$1001,,0)</f>
        <v>El Paso</v>
      </c>
      <c r="K147" t="str">
        <f>INDEX(products!$A$1:$G$49,MATCH(orders!$D147,products!$A$1:$A$49,0),MATCH(orders!K$1,products!$A$1:$G$1,0))</f>
        <v>Lib</v>
      </c>
      <c r="L147" t="str">
        <f>INDEX(products!$A$1:$G$49,MATCH(orders!$D147,products!$A$1:$A$49,0),MATCH(orders!L$1,products!$A$1:$G$1,0))</f>
        <v>M</v>
      </c>
      <c r="M147" s="14">
        <f>INDEX(products!$A$1:$G$49,MATCH(orders!$D147,products!$A$1:$A$49,0),MATCH(orders!M$1,products!$A$1:$G$1,0))</f>
        <v>0.2</v>
      </c>
      <c r="N147" s="4">
        <f>INDEX(products!$A$1:$G$49,MATCH(orders!$D147,products!$A$1:$A$49,0),MATCH(orders!N$1,products!$A$1:$G$1,0))</f>
        <v>4.3650000000000002</v>
      </c>
      <c r="O147" s="13">
        <f t="shared" si="10"/>
        <v>17.46</v>
      </c>
      <c r="P147" s="13">
        <f>_xlfn.XLOOKUP(Orders[[#This Row],[Product ID]],products!$A$1:$A$49,products!$G$1:$G$49,,0)</f>
        <v>0.56745000000000001</v>
      </c>
      <c r="Q147" s="13">
        <f t="shared" si="11"/>
        <v>2.2698</v>
      </c>
      <c r="R147" t="str">
        <f t="shared" si="13"/>
        <v>Liberica</v>
      </c>
      <c r="S147" t="str">
        <f t="shared" si="14"/>
        <v>Medium</v>
      </c>
      <c r="T147" t="str">
        <f>_xlfn.XLOOKUP(Orders[[#This Row],[Customer ID]],customers!$A$1:$A$1001,customers!$I$1:$I$1001,,0)</f>
        <v>No</v>
      </c>
    </row>
    <row r="148" spans="1:20" x14ac:dyDescent="0.35">
      <c r="A148" s="2" t="s">
        <v>1311</v>
      </c>
      <c r="B148" s="3">
        <v>44024</v>
      </c>
      <c r="C148" s="2" t="s">
        <v>1312</v>
      </c>
      <c r="D148" t="s">
        <v>6162</v>
      </c>
      <c r="E148" t="str">
        <f t="shared" si="12"/>
        <v>Liberica-Medium-1</v>
      </c>
      <c r="F148" s="2">
        <v>3</v>
      </c>
      <c r="G148" s="2" t="str" cm="1">
        <f t="array" ref="G148">_xlfn.XLOOKUP(C148, customers!$A$1:A1147,customers!$B$1:B1147,,0)</f>
        <v>Leonore Francisco</v>
      </c>
      <c r="H148" s="2" t="str" cm="1">
        <f t="array" ref="H148">IF(_xlfn.XLOOKUP(C148,customers!$A$1:A1147,customers!$C$1:C1147,,0) = 0,"", _xlfn.XLOOKUP(C148,customers!$A$1:A1147,customers!$C$1:C1147,,0))</f>
        <v>lfrancisco42@fema.gov</v>
      </c>
      <c r="I148" s="2" t="str">
        <f>_xlfn.XLOOKUP(C148,customers!$A$1:$A$1001,customers!$G$1:$G$1001,,0)</f>
        <v>United States</v>
      </c>
      <c r="J148" s="2" t="str">
        <f>_xlfn.XLOOKUP(Orders[[#This Row],[Customer ID]],customers!$A$1:$A$1001,customers!$F$1:$F$1001,,0)</f>
        <v>Carson City</v>
      </c>
      <c r="K148" t="str">
        <f>INDEX(products!$A$1:$G$49,MATCH(orders!$D148,products!$A$1:$A$49,0),MATCH(orders!K$1,products!$A$1:$G$1,0))</f>
        <v>Lib</v>
      </c>
      <c r="L148" t="str">
        <f>INDEX(products!$A$1:$G$49,MATCH(orders!$D148,products!$A$1:$A$49,0),MATCH(orders!L$1,products!$A$1:$G$1,0))</f>
        <v>M</v>
      </c>
      <c r="M148" s="14">
        <f>INDEX(products!$A$1:$G$49,MATCH(orders!$D148,products!$A$1:$A$49,0),MATCH(orders!M$1,products!$A$1:$G$1,0))</f>
        <v>1</v>
      </c>
      <c r="N148" s="4">
        <f>INDEX(products!$A$1:$G$49,MATCH(orders!$D148,products!$A$1:$A$49,0),MATCH(orders!N$1,products!$A$1:$G$1,0))</f>
        <v>14.55</v>
      </c>
      <c r="O148" s="13">
        <f t="shared" si="10"/>
        <v>43.650000000000006</v>
      </c>
      <c r="P148" s="13">
        <f>_xlfn.XLOOKUP(Orders[[#This Row],[Product ID]],products!$A$1:$A$49,products!$G$1:$G$49,,0)</f>
        <v>1.8915000000000002</v>
      </c>
      <c r="Q148" s="13">
        <f t="shared" si="11"/>
        <v>5.6745000000000001</v>
      </c>
      <c r="R148" t="str">
        <f t="shared" si="13"/>
        <v>Liberica</v>
      </c>
      <c r="S148" t="str">
        <f t="shared" si="14"/>
        <v>Medium</v>
      </c>
      <c r="T148" t="str">
        <f>_xlfn.XLOOKUP(Orders[[#This Row],[Customer ID]],customers!$A$1:$A$1001,customers!$I$1:$I$1001,,0)</f>
        <v>No</v>
      </c>
    </row>
    <row r="149" spans="1:20" x14ac:dyDescent="0.35">
      <c r="A149" s="2" t="s">
        <v>1311</v>
      </c>
      <c r="B149" s="3">
        <v>44024</v>
      </c>
      <c r="C149" s="2" t="s">
        <v>1312</v>
      </c>
      <c r="D149" t="s">
        <v>6141</v>
      </c>
      <c r="E149" t="str">
        <f t="shared" si="12"/>
        <v>Excelsa-Medium-1</v>
      </c>
      <c r="F149" s="2">
        <v>2</v>
      </c>
      <c r="G149" s="2" t="str" cm="1">
        <f t="array" ref="G149">_xlfn.XLOOKUP(C149, customers!$A$1:A1148,customers!$B$1:B1148,,0)</f>
        <v>Leonore Francisco</v>
      </c>
      <c r="H149" s="2" t="str" cm="1">
        <f t="array" ref="H149">IF(_xlfn.XLOOKUP(C149,customers!$A$1:A1148,customers!$C$1:C1148,,0) = 0,"", _xlfn.XLOOKUP(C149,customers!$A$1:A1148,customers!$C$1:C1148,,0))</f>
        <v>lfrancisco42@fema.gov</v>
      </c>
      <c r="I149" s="2" t="str">
        <f>_xlfn.XLOOKUP(C149,customers!$A$1:$A$1001,customers!$G$1:$G$1001,,0)</f>
        <v>United States</v>
      </c>
      <c r="J149" s="2" t="str">
        <f>_xlfn.XLOOKUP(Orders[[#This Row],[Customer ID]],customers!$A$1:$A$1001,customers!$F$1:$F$1001,,0)</f>
        <v>Carson City</v>
      </c>
      <c r="K149" t="str">
        <f>INDEX(products!$A$1:$G$49,MATCH(orders!$D149,products!$A$1:$A$49,0),MATCH(orders!K$1,products!$A$1:$G$1,0))</f>
        <v>Exc</v>
      </c>
      <c r="L149" t="str">
        <f>INDEX(products!$A$1:$G$49,MATCH(orders!$D149,products!$A$1:$A$49,0),MATCH(orders!L$1,products!$A$1:$G$1,0))</f>
        <v>M</v>
      </c>
      <c r="M149" s="14">
        <f>INDEX(products!$A$1:$G$49,MATCH(orders!$D149,products!$A$1:$A$49,0),MATCH(orders!M$1,products!$A$1:$G$1,0))</f>
        <v>1</v>
      </c>
      <c r="N149" s="4">
        <f>INDEX(products!$A$1:$G$49,MATCH(orders!$D149,products!$A$1:$A$49,0),MATCH(orders!N$1,products!$A$1:$G$1,0))</f>
        <v>13.75</v>
      </c>
      <c r="O149" s="13">
        <f t="shared" si="10"/>
        <v>27.5</v>
      </c>
      <c r="P149" s="13">
        <f>_xlfn.XLOOKUP(Orders[[#This Row],[Product ID]],products!$A$1:$A$49,products!$G$1:$G$49,,0)</f>
        <v>1.5125</v>
      </c>
      <c r="Q149" s="13">
        <f t="shared" si="11"/>
        <v>3.0249999999999999</v>
      </c>
      <c r="R149" t="str">
        <f t="shared" si="13"/>
        <v>Execelsa</v>
      </c>
      <c r="S149" t="str">
        <f t="shared" si="14"/>
        <v>Medium</v>
      </c>
      <c r="T149" t="str">
        <f>_xlfn.XLOOKUP(Orders[[#This Row],[Customer ID]],customers!$A$1:$A$1001,customers!$I$1:$I$1001,,0)</f>
        <v>No</v>
      </c>
    </row>
    <row r="150" spans="1:20" x14ac:dyDescent="0.35">
      <c r="A150" s="2" t="s">
        <v>1322</v>
      </c>
      <c r="B150" s="3">
        <v>44551</v>
      </c>
      <c r="C150" s="2" t="s">
        <v>1323</v>
      </c>
      <c r="D150" t="s">
        <v>6153</v>
      </c>
      <c r="E150" t="str">
        <f t="shared" si="12"/>
        <v>Excelsa-Dark-0.2</v>
      </c>
      <c r="F150" s="2">
        <v>5</v>
      </c>
      <c r="G150" s="2" t="str" cm="1">
        <f t="array" ref="G150">_xlfn.XLOOKUP(C150, customers!$A$1:A1149,customers!$B$1:B1149,,0)</f>
        <v>Giacobo Skingle</v>
      </c>
      <c r="H150" s="2" t="str" cm="1">
        <f t="array" ref="H150">IF(_xlfn.XLOOKUP(C150,customers!$A$1:A1149,customers!$C$1:C1149,,0) = 0,"", _xlfn.XLOOKUP(C150,customers!$A$1:A1149,customers!$C$1:C1149,,0))</f>
        <v>gskingle44@clickbank.net</v>
      </c>
      <c r="I150" s="2" t="str">
        <f>_xlfn.XLOOKUP(C150,customers!$A$1:$A$1001,customers!$G$1:$G$1001,,0)</f>
        <v>United States</v>
      </c>
      <c r="J150" s="2" t="str">
        <f>_xlfn.XLOOKUP(Orders[[#This Row],[Customer ID]],customers!$A$1:$A$1001,customers!$F$1:$F$1001,,0)</f>
        <v>Provo</v>
      </c>
      <c r="K150" t="str">
        <f>INDEX(products!$A$1:$G$49,MATCH(orders!$D150,products!$A$1:$A$49,0),MATCH(orders!K$1,products!$A$1:$G$1,0))</f>
        <v>Exc</v>
      </c>
      <c r="L150" t="str">
        <f>INDEX(products!$A$1:$G$49,MATCH(orders!$D150,products!$A$1:$A$49,0),MATCH(orders!L$1,products!$A$1:$G$1,0))</f>
        <v>D</v>
      </c>
      <c r="M150" s="14">
        <f>INDEX(products!$A$1:$G$49,MATCH(orders!$D150,products!$A$1:$A$49,0),MATCH(orders!M$1,products!$A$1:$G$1,0))</f>
        <v>0.2</v>
      </c>
      <c r="N150" s="4">
        <f>INDEX(products!$A$1:$G$49,MATCH(orders!$D150,products!$A$1:$A$49,0),MATCH(orders!N$1,products!$A$1:$G$1,0))</f>
        <v>3.645</v>
      </c>
      <c r="O150" s="13">
        <f t="shared" si="10"/>
        <v>18.225000000000001</v>
      </c>
      <c r="P150" s="13">
        <f>_xlfn.XLOOKUP(Orders[[#This Row],[Product ID]],products!$A$1:$A$49,products!$G$1:$G$49,,0)</f>
        <v>0.40095000000000003</v>
      </c>
      <c r="Q150" s="13">
        <f t="shared" si="11"/>
        <v>2.00475</v>
      </c>
      <c r="R150" t="str">
        <f t="shared" si="13"/>
        <v>Execelsa</v>
      </c>
      <c r="S150" t="str">
        <f t="shared" si="14"/>
        <v>Dark</v>
      </c>
      <c r="T150" t="str">
        <f>_xlfn.XLOOKUP(Orders[[#This Row],[Customer ID]],customers!$A$1:$A$1001,customers!$I$1:$I$1001,,0)</f>
        <v>Yes</v>
      </c>
    </row>
    <row r="151" spans="1:20" x14ac:dyDescent="0.35">
      <c r="A151" s="2" t="s">
        <v>1328</v>
      </c>
      <c r="B151" s="3">
        <v>44108</v>
      </c>
      <c r="C151" s="2" t="s">
        <v>1329</v>
      </c>
      <c r="D151" t="s">
        <v>6175</v>
      </c>
      <c r="E151" t="str">
        <f t="shared" si="12"/>
        <v>Arabica-Medium-2.5</v>
      </c>
      <c r="F151" s="2">
        <v>2</v>
      </c>
      <c r="G151" s="2" t="str" cm="1">
        <f t="array" ref="G151">_xlfn.XLOOKUP(C151, customers!$A$1:A1150,customers!$B$1:B1150,,0)</f>
        <v>Gerard Pirdy</v>
      </c>
      <c r="H151" s="2" t="str" cm="1">
        <f t="array" ref="H151">IF(_xlfn.XLOOKUP(C151,customers!$A$1:A1150,customers!$C$1:C1150,,0) = 0,"", _xlfn.XLOOKUP(C151,customers!$A$1:A1150,customers!$C$1:C1150,,0))</f>
        <v/>
      </c>
      <c r="I151" s="2" t="str">
        <f>_xlfn.XLOOKUP(C151,customers!$A$1:$A$1001,customers!$G$1:$G$1001,,0)</f>
        <v>United States</v>
      </c>
      <c r="J151" s="2" t="str">
        <f>_xlfn.XLOOKUP(Orders[[#This Row],[Customer ID]],customers!$A$1:$A$1001,customers!$F$1:$F$1001,,0)</f>
        <v>Boca Raton</v>
      </c>
      <c r="K151" t="str">
        <f>INDEX(products!$A$1:$G$49,MATCH(orders!$D151,products!$A$1:$A$49,0),MATCH(orders!K$1,products!$A$1:$G$1,0))</f>
        <v>Ara</v>
      </c>
      <c r="L151" t="str">
        <f>INDEX(products!$A$1:$G$49,MATCH(orders!$D151,products!$A$1:$A$49,0),MATCH(orders!L$1,products!$A$1:$G$1,0))</f>
        <v>M</v>
      </c>
      <c r="M151" s="14">
        <f>INDEX(products!$A$1:$G$49,MATCH(orders!$D151,products!$A$1:$A$49,0),MATCH(orders!M$1,products!$A$1:$G$1,0))</f>
        <v>2.5</v>
      </c>
      <c r="N151" s="4">
        <f>INDEX(products!$A$1:$G$49,MATCH(orders!$D151,products!$A$1:$A$49,0),MATCH(orders!N$1,products!$A$1:$G$1,0))</f>
        <v>25.874999999999996</v>
      </c>
      <c r="O151" s="13">
        <f t="shared" si="10"/>
        <v>51.749999999999993</v>
      </c>
      <c r="P151" s="13">
        <f>_xlfn.XLOOKUP(Orders[[#This Row],[Product ID]],products!$A$1:$A$49,products!$G$1:$G$49,,0)</f>
        <v>2.3287499999999994</v>
      </c>
      <c r="Q151" s="13">
        <f t="shared" si="11"/>
        <v>4.6574999999999989</v>
      </c>
      <c r="R151" t="str">
        <f t="shared" si="13"/>
        <v>Arabica</v>
      </c>
      <c r="S151" t="str">
        <f t="shared" si="14"/>
        <v>Medium</v>
      </c>
      <c r="T151" t="str">
        <f>_xlfn.XLOOKUP(Orders[[#This Row],[Customer ID]],customers!$A$1:$A$1001,customers!$I$1:$I$1001,,0)</f>
        <v>Yes</v>
      </c>
    </row>
    <row r="152" spans="1:20" x14ac:dyDescent="0.35">
      <c r="A152" s="2" t="s">
        <v>1333</v>
      </c>
      <c r="B152" s="3">
        <v>44051</v>
      </c>
      <c r="C152" s="2" t="s">
        <v>1334</v>
      </c>
      <c r="D152" t="s">
        <v>6143</v>
      </c>
      <c r="E152" t="str">
        <f t="shared" si="12"/>
        <v>Liberica-Dark-1</v>
      </c>
      <c r="F152" s="2">
        <v>1</v>
      </c>
      <c r="G152" s="2" t="str" cm="1">
        <f t="array" ref="G152">_xlfn.XLOOKUP(C152, customers!$A$1:A1151,customers!$B$1:B1151,,0)</f>
        <v>Jacinthe Balsillie</v>
      </c>
      <c r="H152" s="2" t="str" cm="1">
        <f t="array" ref="H152">IF(_xlfn.XLOOKUP(C152,customers!$A$1:A1151,customers!$C$1:C1151,,0) = 0,"", _xlfn.XLOOKUP(C152,customers!$A$1:A1151,customers!$C$1:C1151,,0))</f>
        <v>jbalsillie46@princeton.edu</v>
      </c>
      <c r="I152" s="2" t="str">
        <f>_xlfn.XLOOKUP(C152,customers!$A$1:$A$1001,customers!$G$1:$G$1001,,0)</f>
        <v>United States</v>
      </c>
      <c r="J152" s="2" t="str">
        <f>_xlfn.XLOOKUP(Orders[[#This Row],[Customer ID]],customers!$A$1:$A$1001,customers!$F$1:$F$1001,,0)</f>
        <v>Roanoke</v>
      </c>
      <c r="K152" t="str">
        <f>INDEX(products!$A$1:$G$49,MATCH(orders!$D152,products!$A$1:$A$49,0),MATCH(orders!K$1,products!$A$1:$G$1,0))</f>
        <v>Lib</v>
      </c>
      <c r="L152" t="str">
        <f>INDEX(products!$A$1:$G$49,MATCH(orders!$D152,products!$A$1:$A$49,0),MATCH(orders!L$1,products!$A$1:$G$1,0))</f>
        <v>D</v>
      </c>
      <c r="M152" s="14">
        <f>INDEX(products!$A$1:$G$49,MATCH(orders!$D152,products!$A$1:$A$49,0),MATCH(orders!M$1,products!$A$1:$G$1,0))</f>
        <v>1</v>
      </c>
      <c r="N152" s="4">
        <f>INDEX(products!$A$1:$G$49,MATCH(orders!$D152,products!$A$1:$A$49,0),MATCH(orders!N$1,products!$A$1:$G$1,0))</f>
        <v>12.95</v>
      </c>
      <c r="O152" s="13">
        <f t="shared" si="10"/>
        <v>12.95</v>
      </c>
      <c r="P152" s="13">
        <f>_xlfn.XLOOKUP(Orders[[#This Row],[Product ID]],products!$A$1:$A$49,products!$G$1:$G$49,,0)</f>
        <v>1.6835</v>
      </c>
      <c r="Q152" s="13">
        <f t="shared" si="11"/>
        <v>1.6835</v>
      </c>
      <c r="R152" t="str">
        <f t="shared" si="13"/>
        <v>Liberica</v>
      </c>
      <c r="S152" t="str">
        <f t="shared" si="14"/>
        <v>Dark</v>
      </c>
      <c r="T152" t="str">
        <f>_xlfn.XLOOKUP(Orders[[#This Row],[Customer ID]],customers!$A$1:$A$1001,customers!$I$1:$I$1001,,0)</f>
        <v>Yes</v>
      </c>
    </row>
    <row r="153" spans="1:20" x14ac:dyDescent="0.35">
      <c r="A153" s="2" t="s">
        <v>1339</v>
      </c>
      <c r="B153" s="3">
        <v>44115</v>
      </c>
      <c r="C153" s="2" t="s">
        <v>1340</v>
      </c>
      <c r="D153" t="s">
        <v>6155</v>
      </c>
      <c r="E153" t="str">
        <f t="shared" si="12"/>
        <v>Arabica-Medium-1</v>
      </c>
      <c r="F153" s="2">
        <v>3</v>
      </c>
      <c r="G153" s="2" t="str" cm="1">
        <f t="array" ref="G153">_xlfn.XLOOKUP(C153, customers!$A$1:A1152,customers!$B$1:B1152,,0)</f>
        <v>Quinton Fouracres</v>
      </c>
      <c r="H153" s="2" t="str" cm="1">
        <f t="array" ref="H153">IF(_xlfn.XLOOKUP(C153,customers!$A$1:A1152,customers!$C$1:C1152,,0) = 0,"", _xlfn.XLOOKUP(C153,customers!$A$1:A1152,customers!$C$1:C1152,,0))</f>
        <v/>
      </c>
      <c r="I153" s="2" t="str">
        <f>_xlfn.XLOOKUP(C153,customers!$A$1:$A$1001,customers!$G$1:$G$1001,,0)</f>
        <v>United States</v>
      </c>
      <c r="J153" s="2" t="str">
        <f>_xlfn.XLOOKUP(Orders[[#This Row],[Customer ID]],customers!$A$1:$A$1001,customers!$F$1:$F$1001,,0)</f>
        <v>Des Moines</v>
      </c>
      <c r="K153" t="str">
        <f>INDEX(products!$A$1:$G$49,MATCH(orders!$D153,products!$A$1:$A$49,0),MATCH(orders!K$1,products!$A$1:$G$1,0))</f>
        <v>Ara</v>
      </c>
      <c r="L153" t="str">
        <f>INDEX(products!$A$1:$G$49,MATCH(orders!$D153,products!$A$1:$A$49,0),MATCH(orders!L$1,products!$A$1:$G$1,0))</f>
        <v>M</v>
      </c>
      <c r="M153" s="14">
        <f>INDEX(products!$A$1:$G$49,MATCH(orders!$D153,products!$A$1:$A$49,0),MATCH(orders!M$1,products!$A$1:$G$1,0))</f>
        <v>1</v>
      </c>
      <c r="N153" s="4">
        <f>INDEX(products!$A$1:$G$49,MATCH(orders!$D153,products!$A$1:$A$49,0),MATCH(orders!N$1,products!$A$1:$G$1,0))</f>
        <v>11.25</v>
      </c>
      <c r="O153" s="13">
        <f t="shared" si="10"/>
        <v>33.75</v>
      </c>
      <c r="P153" s="13">
        <f>_xlfn.XLOOKUP(Orders[[#This Row],[Product ID]],products!$A$1:$A$49,products!$G$1:$G$49,,0)</f>
        <v>1.0125</v>
      </c>
      <c r="Q153" s="13">
        <f t="shared" si="11"/>
        <v>3.0374999999999996</v>
      </c>
      <c r="R153" t="str">
        <f t="shared" si="13"/>
        <v>Arabica</v>
      </c>
      <c r="S153" t="str">
        <f t="shared" si="14"/>
        <v>Medium</v>
      </c>
      <c r="T153" t="str">
        <f>_xlfn.XLOOKUP(Orders[[#This Row],[Customer ID]],customers!$A$1:$A$1001,customers!$I$1:$I$1001,,0)</f>
        <v>Yes</v>
      </c>
    </row>
    <row r="154" spans="1:20" x14ac:dyDescent="0.35">
      <c r="A154" s="2" t="s">
        <v>1344</v>
      </c>
      <c r="B154" s="3">
        <v>44510</v>
      </c>
      <c r="C154" s="2" t="s">
        <v>1345</v>
      </c>
      <c r="D154" t="s">
        <v>6151</v>
      </c>
      <c r="E154" t="str">
        <f t="shared" si="12"/>
        <v>Robusta-Medium-2.5</v>
      </c>
      <c r="F154" s="2">
        <v>3</v>
      </c>
      <c r="G154" s="2" t="str" cm="1">
        <f t="array" ref="G154">_xlfn.XLOOKUP(C154, customers!$A$1:A1153,customers!$B$1:B1153,,0)</f>
        <v>Bettina Leffek</v>
      </c>
      <c r="H154" s="2" t="str" cm="1">
        <f t="array" ref="H154">IF(_xlfn.XLOOKUP(C154,customers!$A$1:A1153,customers!$C$1:C1153,,0) = 0,"", _xlfn.XLOOKUP(C154,customers!$A$1:A1153,customers!$C$1:C1153,,0))</f>
        <v>bleffek48@ning.com</v>
      </c>
      <c r="I154" s="2" t="str">
        <f>_xlfn.XLOOKUP(C154,customers!$A$1:$A$1001,customers!$G$1:$G$1001,,0)</f>
        <v>United States</v>
      </c>
      <c r="J154" s="2" t="str">
        <f>_xlfn.XLOOKUP(Orders[[#This Row],[Customer ID]],customers!$A$1:$A$1001,customers!$F$1:$F$1001,,0)</f>
        <v>Honolulu</v>
      </c>
      <c r="K154" t="str">
        <f>INDEX(products!$A$1:$G$49,MATCH(orders!$D154,products!$A$1:$A$49,0),MATCH(orders!K$1,products!$A$1:$G$1,0))</f>
        <v>Rob</v>
      </c>
      <c r="L154" t="str">
        <f>INDEX(products!$A$1:$G$49,MATCH(orders!$D154,products!$A$1:$A$49,0),MATCH(orders!L$1,products!$A$1:$G$1,0))</f>
        <v>M</v>
      </c>
      <c r="M154" s="14">
        <f>INDEX(products!$A$1:$G$49,MATCH(orders!$D154,products!$A$1:$A$49,0),MATCH(orders!M$1,products!$A$1:$G$1,0))</f>
        <v>2.5</v>
      </c>
      <c r="N154" s="4">
        <f>INDEX(products!$A$1:$G$49,MATCH(orders!$D154,products!$A$1:$A$49,0),MATCH(orders!N$1,products!$A$1:$G$1,0))</f>
        <v>22.884999999999998</v>
      </c>
      <c r="O154" s="13">
        <f t="shared" si="10"/>
        <v>68.655000000000001</v>
      </c>
      <c r="P154" s="13">
        <f>_xlfn.XLOOKUP(Orders[[#This Row],[Product ID]],products!$A$1:$A$49,products!$G$1:$G$49,,0)</f>
        <v>1.3730999999999998</v>
      </c>
      <c r="Q154" s="13">
        <f t="shared" si="11"/>
        <v>4.1192999999999991</v>
      </c>
      <c r="R154" t="str">
        <f t="shared" si="13"/>
        <v>Robusta</v>
      </c>
      <c r="S154" t="str">
        <f t="shared" si="14"/>
        <v>Medium</v>
      </c>
      <c r="T154" t="str">
        <f>_xlfn.XLOOKUP(Orders[[#This Row],[Customer ID]],customers!$A$1:$A$1001,customers!$I$1:$I$1001,,0)</f>
        <v>Yes</v>
      </c>
    </row>
    <row r="155" spans="1:20" x14ac:dyDescent="0.35">
      <c r="A155" s="2" t="s">
        <v>1350</v>
      </c>
      <c r="B155" s="3">
        <v>44367</v>
      </c>
      <c r="C155" s="2" t="s">
        <v>1351</v>
      </c>
      <c r="D155" t="s">
        <v>6163</v>
      </c>
      <c r="E155" t="str">
        <f t="shared" si="12"/>
        <v>Robusta-Dark-0.2</v>
      </c>
      <c r="F155" s="2">
        <v>1</v>
      </c>
      <c r="G155" s="2" t="str" cm="1">
        <f t="array" ref="G155">_xlfn.XLOOKUP(C155, customers!$A$1:A1154,customers!$B$1:B1154,,0)</f>
        <v>Hetti Penson</v>
      </c>
      <c r="H155" s="2" t="str" cm="1">
        <f t="array" ref="H155">IF(_xlfn.XLOOKUP(C155,customers!$A$1:A1154,customers!$C$1:C1154,,0) = 0,"", _xlfn.XLOOKUP(C155,customers!$A$1:A1154,customers!$C$1:C1154,,0))</f>
        <v/>
      </c>
      <c r="I155" s="2" t="str">
        <f>_xlfn.XLOOKUP(C155,customers!$A$1:$A$1001,customers!$G$1:$G$1001,,0)</f>
        <v>United States</v>
      </c>
      <c r="J155" s="2" t="str">
        <f>_xlfn.XLOOKUP(Orders[[#This Row],[Customer ID]],customers!$A$1:$A$1001,customers!$F$1:$F$1001,,0)</f>
        <v>Fort Lauderdale</v>
      </c>
      <c r="K155" t="str">
        <f>INDEX(products!$A$1:$G$49,MATCH(orders!$D155,products!$A$1:$A$49,0),MATCH(orders!K$1,products!$A$1:$G$1,0))</f>
        <v>Rob</v>
      </c>
      <c r="L155" t="str">
        <f>INDEX(products!$A$1:$G$49,MATCH(orders!$D155,products!$A$1:$A$49,0),MATCH(orders!L$1,products!$A$1:$G$1,0))</f>
        <v>D</v>
      </c>
      <c r="M155" s="14">
        <f>INDEX(products!$A$1:$G$49,MATCH(orders!$D155,products!$A$1:$A$49,0),MATCH(orders!M$1,products!$A$1:$G$1,0))</f>
        <v>0.2</v>
      </c>
      <c r="N155" s="4">
        <f>INDEX(products!$A$1:$G$49,MATCH(orders!$D155,products!$A$1:$A$49,0),MATCH(orders!N$1,products!$A$1:$G$1,0))</f>
        <v>2.6849999999999996</v>
      </c>
      <c r="O155" s="13">
        <f t="shared" si="10"/>
        <v>2.6849999999999996</v>
      </c>
      <c r="P155" s="13">
        <f>_xlfn.XLOOKUP(Orders[[#This Row],[Product ID]],products!$A$1:$A$49,products!$G$1:$G$49,,0)</f>
        <v>0.16109999999999997</v>
      </c>
      <c r="Q155" s="13">
        <f t="shared" si="11"/>
        <v>0.16109999999999997</v>
      </c>
      <c r="R155" t="str">
        <f t="shared" si="13"/>
        <v>Robusta</v>
      </c>
      <c r="S155" t="str">
        <f t="shared" si="14"/>
        <v>Dark</v>
      </c>
      <c r="T155" t="str">
        <f>_xlfn.XLOOKUP(Orders[[#This Row],[Customer ID]],customers!$A$1:$A$1001,customers!$I$1:$I$1001,,0)</f>
        <v>No</v>
      </c>
    </row>
    <row r="156" spans="1:20" x14ac:dyDescent="0.35">
      <c r="A156" s="2" t="s">
        <v>1355</v>
      </c>
      <c r="B156" s="3">
        <v>44473</v>
      </c>
      <c r="C156" s="2" t="s">
        <v>1356</v>
      </c>
      <c r="D156" t="s">
        <v>6168</v>
      </c>
      <c r="E156" t="str">
        <f t="shared" si="12"/>
        <v>Arabica-Dark-2.5</v>
      </c>
      <c r="F156" s="2">
        <v>5</v>
      </c>
      <c r="G156" s="2" t="str" cm="1">
        <f t="array" ref="G156">_xlfn.XLOOKUP(C156, customers!$A$1:A1155,customers!$B$1:B1155,,0)</f>
        <v>Jocko Pray</v>
      </c>
      <c r="H156" s="2" t="str" cm="1">
        <f t="array" ref="H156">IF(_xlfn.XLOOKUP(C156,customers!$A$1:A1155,customers!$C$1:C1155,,0) = 0,"", _xlfn.XLOOKUP(C156,customers!$A$1:A1155,customers!$C$1:C1155,,0))</f>
        <v>jpray4a@youtube.com</v>
      </c>
      <c r="I156" s="2" t="str">
        <f>_xlfn.XLOOKUP(C156,customers!$A$1:$A$1001,customers!$G$1:$G$1001,,0)</f>
        <v>United States</v>
      </c>
      <c r="J156" s="2" t="str">
        <f>_xlfn.XLOOKUP(Orders[[#This Row],[Customer ID]],customers!$A$1:$A$1001,customers!$F$1:$F$1001,,0)</f>
        <v>Philadelphia</v>
      </c>
      <c r="K156" t="str">
        <f>INDEX(products!$A$1:$G$49,MATCH(orders!$D156,products!$A$1:$A$49,0),MATCH(orders!K$1,products!$A$1:$G$1,0))</f>
        <v>Ara</v>
      </c>
      <c r="L156" t="str">
        <f>INDEX(products!$A$1:$G$49,MATCH(orders!$D156,products!$A$1:$A$49,0),MATCH(orders!L$1,products!$A$1:$G$1,0))</f>
        <v>D</v>
      </c>
      <c r="M156" s="14">
        <f>INDEX(products!$A$1:$G$49,MATCH(orders!$D156,products!$A$1:$A$49,0),MATCH(orders!M$1,products!$A$1:$G$1,0))</f>
        <v>2.5</v>
      </c>
      <c r="N156" s="4">
        <f>INDEX(products!$A$1:$G$49,MATCH(orders!$D156,products!$A$1:$A$49,0),MATCH(orders!N$1,products!$A$1:$G$1,0))</f>
        <v>22.884999999999998</v>
      </c>
      <c r="O156" s="13">
        <f t="shared" si="10"/>
        <v>114.42499999999998</v>
      </c>
      <c r="P156" s="13">
        <f>_xlfn.XLOOKUP(Orders[[#This Row],[Product ID]],products!$A$1:$A$49,products!$G$1:$G$49,,0)</f>
        <v>2.0596499999999995</v>
      </c>
      <c r="Q156" s="13">
        <f t="shared" si="11"/>
        <v>10.298249999999998</v>
      </c>
      <c r="R156" t="str">
        <f t="shared" si="13"/>
        <v>Arabica</v>
      </c>
      <c r="S156" t="str">
        <f t="shared" si="14"/>
        <v>Dark</v>
      </c>
      <c r="T156" t="str">
        <f>_xlfn.XLOOKUP(Orders[[#This Row],[Customer ID]],customers!$A$1:$A$1001,customers!$I$1:$I$1001,,0)</f>
        <v>No</v>
      </c>
    </row>
    <row r="157" spans="1:20" x14ac:dyDescent="0.35">
      <c r="A157" s="2" t="s">
        <v>1361</v>
      </c>
      <c r="B157" s="3">
        <v>43640</v>
      </c>
      <c r="C157" s="2" t="s">
        <v>1362</v>
      </c>
      <c r="D157" t="s">
        <v>6175</v>
      </c>
      <c r="E157" t="str">
        <f t="shared" si="12"/>
        <v>Arabica-Medium-2.5</v>
      </c>
      <c r="F157" s="2">
        <v>6</v>
      </c>
      <c r="G157" s="2" t="str" cm="1">
        <f t="array" ref="G157">_xlfn.XLOOKUP(C157, customers!$A$1:A1156,customers!$B$1:B1156,,0)</f>
        <v>Grete Holborn</v>
      </c>
      <c r="H157" s="2" t="str" cm="1">
        <f t="array" ref="H157">IF(_xlfn.XLOOKUP(C157,customers!$A$1:A1156,customers!$C$1:C1156,,0) = 0,"", _xlfn.XLOOKUP(C157,customers!$A$1:A1156,customers!$C$1:C1156,,0))</f>
        <v>gholborn4b@ow.ly</v>
      </c>
      <c r="I157" s="2" t="str">
        <f>_xlfn.XLOOKUP(C157,customers!$A$1:$A$1001,customers!$G$1:$G$1001,,0)</f>
        <v>United States</v>
      </c>
      <c r="J157" s="2" t="str">
        <f>_xlfn.XLOOKUP(Orders[[#This Row],[Customer ID]],customers!$A$1:$A$1001,customers!$F$1:$F$1001,,0)</f>
        <v>Norwalk</v>
      </c>
      <c r="K157" t="str">
        <f>INDEX(products!$A$1:$G$49,MATCH(orders!$D157,products!$A$1:$A$49,0),MATCH(orders!K$1,products!$A$1:$G$1,0))</f>
        <v>Ara</v>
      </c>
      <c r="L157" t="str">
        <f>INDEX(products!$A$1:$G$49,MATCH(orders!$D157,products!$A$1:$A$49,0),MATCH(orders!L$1,products!$A$1:$G$1,0))</f>
        <v>M</v>
      </c>
      <c r="M157" s="14">
        <f>INDEX(products!$A$1:$G$49,MATCH(orders!$D157,products!$A$1:$A$49,0),MATCH(orders!M$1,products!$A$1:$G$1,0))</f>
        <v>2.5</v>
      </c>
      <c r="N157" s="4">
        <f>INDEX(products!$A$1:$G$49,MATCH(orders!$D157,products!$A$1:$A$49,0),MATCH(orders!N$1,products!$A$1:$G$1,0))</f>
        <v>25.874999999999996</v>
      </c>
      <c r="O157" s="13">
        <f t="shared" si="10"/>
        <v>155.24999999999997</v>
      </c>
      <c r="P157" s="13">
        <f>_xlfn.XLOOKUP(Orders[[#This Row],[Product ID]],products!$A$1:$A$49,products!$G$1:$G$49,,0)</f>
        <v>2.3287499999999994</v>
      </c>
      <c r="Q157" s="13">
        <f t="shared" si="11"/>
        <v>13.972499999999997</v>
      </c>
      <c r="R157" t="str">
        <f t="shared" si="13"/>
        <v>Arabica</v>
      </c>
      <c r="S157" t="str">
        <f t="shared" si="14"/>
        <v>Medium</v>
      </c>
      <c r="T157" t="str">
        <f>_xlfn.XLOOKUP(Orders[[#This Row],[Customer ID]],customers!$A$1:$A$1001,customers!$I$1:$I$1001,,0)</f>
        <v>Yes</v>
      </c>
    </row>
    <row r="158" spans="1:20" x14ac:dyDescent="0.35">
      <c r="A158" s="2" t="s">
        <v>1367</v>
      </c>
      <c r="B158" s="3">
        <v>43764</v>
      </c>
      <c r="C158" s="2" t="s">
        <v>1368</v>
      </c>
      <c r="D158" t="s">
        <v>6175</v>
      </c>
      <c r="E158" t="str">
        <f t="shared" si="12"/>
        <v>Arabica-Medium-2.5</v>
      </c>
      <c r="F158" s="2">
        <v>3</v>
      </c>
      <c r="G158" s="2" t="str" cm="1">
        <f t="array" ref="G158">_xlfn.XLOOKUP(C158, customers!$A$1:A1157,customers!$B$1:B1157,,0)</f>
        <v>Fielding Keinrat</v>
      </c>
      <c r="H158" s="2" t="str" cm="1">
        <f t="array" ref="H158">IF(_xlfn.XLOOKUP(C158,customers!$A$1:A1157,customers!$C$1:C1157,,0) = 0,"", _xlfn.XLOOKUP(C158,customers!$A$1:A1157,customers!$C$1:C1157,,0))</f>
        <v>fkeinrat4c@dailymail.co.uk</v>
      </c>
      <c r="I158" s="2" t="str">
        <f>_xlfn.XLOOKUP(C158,customers!$A$1:$A$1001,customers!$G$1:$G$1001,,0)</f>
        <v>United States</v>
      </c>
      <c r="J158" s="2" t="str">
        <f>_xlfn.XLOOKUP(Orders[[#This Row],[Customer ID]],customers!$A$1:$A$1001,customers!$F$1:$F$1001,,0)</f>
        <v>Arlington</v>
      </c>
      <c r="K158" t="str">
        <f>INDEX(products!$A$1:$G$49,MATCH(orders!$D158,products!$A$1:$A$49,0),MATCH(orders!K$1,products!$A$1:$G$1,0))</f>
        <v>Ara</v>
      </c>
      <c r="L158" t="str">
        <f>INDEX(products!$A$1:$G$49,MATCH(orders!$D158,products!$A$1:$A$49,0),MATCH(orders!L$1,products!$A$1:$G$1,0))</f>
        <v>M</v>
      </c>
      <c r="M158" s="14">
        <f>INDEX(products!$A$1:$G$49,MATCH(orders!$D158,products!$A$1:$A$49,0),MATCH(orders!M$1,products!$A$1:$G$1,0))</f>
        <v>2.5</v>
      </c>
      <c r="N158" s="4">
        <f>INDEX(products!$A$1:$G$49,MATCH(orders!$D158,products!$A$1:$A$49,0),MATCH(orders!N$1,products!$A$1:$G$1,0))</f>
        <v>25.874999999999996</v>
      </c>
      <c r="O158" s="13">
        <f t="shared" si="10"/>
        <v>77.624999999999986</v>
      </c>
      <c r="P158" s="13">
        <f>_xlfn.XLOOKUP(Orders[[#This Row],[Product ID]],products!$A$1:$A$49,products!$G$1:$G$49,,0)</f>
        <v>2.3287499999999994</v>
      </c>
      <c r="Q158" s="13">
        <f t="shared" si="11"/>
        <v>6.9862499999999983</v>
      </c>
      <c r="R158" t="str">
        <f t="shared" si="13"/>
        <v>Arabica</v>
      </c>
      <c r="S158" t="str">
        <f t="shared" si="14"/>
        <v>Medium</v>
      </c>
      <c r="T158" t="str">
        <f>_xlfn.XLOOKUP(Orders[[#This Row],[Customer ID]],customers!$A$1:$A$1001,customers!$I$1:$I$1001,,0)</f>
        <v>Yes</v>
      </c>
    </row>
    <row r="159" spans="1:20" x14ac:dyDescent="0.35">
      <c r="A159" s="2" t="s">
        <v>1373</v>
      </c>
      <c r="B159" s="3">
        <v>44374</v>
      </c>
      <c r="C159" s="2" t="s">
        <v>1374</v>
      </c>
      <c r="D159" t="s">
        <v>6149</v>
      </c>
      <c r="E159" t="str">
        <f t="shared" si="12"/>
        <v>Robusta-Dark-2.5</v>
      </c>
      <c r="F159" s="2">
        <v>3</v>
      </c>
      <c r="G159" s="2" t="str" cm="1">
        <f t="array" ref="G159">_xlfn.XLOOKUP(C159, customers!$A$1:A1158,customers!$B$1:B1158,,0)</f>
        <v>Paulo Yea</v>
      </c>
      <c r="H159" s="2" t="str" cm="1">
        <f t="array" ref="H159">IF(_xlfn.XLOOKUP(C159,customers!$A$1:A1158,customers!$C$1:C1158,,0) = 0,"", _xlfn.XLOOKUP(C159,customers!$A$1:A1158,customers!$C$1:C1158,,0))</f>
        <v>pyea4d@aol.com</v>
      </c>
      <c r="I159" s="2" t="str">
        <f>_xlfn.XLOOKUP(C159,customers!$A$1:$A$1001,customers!$G$1:$G$1001,,0)</f>
        <v>Ireland</v>
      </c>
      <c r="J159" s="2" t="str">
        <f>_xlfn.XLOOKUP(Orders[[#This Row],[Customer ID]],customers!$A$1:$A$1001,customers!$F$1:$F$1001,,0)</f>
        <v>Ashford</v>
      </c>
      <c r="K159" t="str">
        <f>INDEX(products!$A$1:$G$49,MATCH(orders!$D159,products!$A$1:$A$49,0),MATCH(orders!K$1,products!$A$1:$G$1,0))</f>
        <v>Rob</v>
      </c>
      <c r="L159" t="str">
        <f>INDEX(products!$A$1:$G$49,MATCH(orders!$D159,products!$A$1:$A$49,0),MATCH(orders!L$1,products!$A$1:$G$1,0))</f>
        <v>D</v>
      </c>
      <c r="M159" s="14">
        <f>INDEX(products!$A$1:$G$49,MATCH(orders!$D159,products!$A$1:$A$49,0),MATCH(orders!M$1,products!$A$1:$G$1,0))</f>
        <v>2.5</v>
      </c>
      <c r="N159" s="4">
        <f>INDEX(products!$A$1:$G$49,MATCH(orders!$D159,products!$A$1:$A$49,0),MATCH(orders!N$1,products!$A$1:$G$1,0))</f>
        <v>20.584999999999997</v>
      </c>
      <c r="O159" s="13">
        <f t="shared" si="10"/>
        <v>61.754999999999995</v>
      </c>
      <c r="P159" s="13">
        <f>_xlfn.XLOOKUP(Orders[[#This Row],[Product ID]],products!$A$1:$A$49,products!$G$1:$G$49,,0)</f>
        <v>1.2350999999999999</v>
      </c>
      <c r="Q159" s="13">
        <f t="shared" si="11"/>
        <v>3.7052999999999994</v>
      </c>
      <c r="R159" t="str">
        <f t="shared" si="13"/>
        <v>Robusta</v>
      </c>
      <c r="S159" t="str">
        <f t="shared" si="14"/>
        <v>Dark</v>
      </c>
      <c r="T159" t="str">
        <f>_xlfn.XLOOKUP(Orders[[#This Row],[Customer ID]],customers!$A$1:$A$1001,customers!$I$1:$I$1001,,0)</f>
        <v>No</v>
      </c>
    </row>
    <row r="160" spans="1:20" x14ac:dyDescent="0.35">
      <c r="A160" s="2" t="s">
        <v>1379</v>
      </c>
      <c r="B160" s="3">
        <v>43714</v>
      </c>
      <c r="C160" s="2" t="s">
        <v>1380</v>
      </c>
      <c r="D160" t="s">
        <v>6149</v>
      </c>
      <c r="E160" t="str">
        <f t="shared" si="12"/>
        <v>Robusta-Dark-2.5</v>
      </c>
      <c r="F160" s="2">
        <v>6</v>
      </c>
      <c r="G160" s="2" t="str" cm="1">
        <f t="array" ref="G160">_xlfn.XLOOKUP(C160, customers!$A$1:A1159,customers!$B$1:B1159,,0)</f>
        <v>Say Risborough</v>
      </c>
      <c r="H160" s="2" t="str" cm="1">
        <f t="array" ref="H160">IF(_xlfn.XLOOKUP(C160,customers!$A$1:A1159,customers!$C$1:C1159,,0) = 0,"", _xlfn.XLOOKUP(C160,customers!$A$1:A1159,customers!$C$1:C1159,,0))</f>
        <v/>
      </c>
      <c r="I160" s="2" t="str">
        <f>_xlfn.XLOOKUP(C160,customers!$A$1:$A$1001,customers!$G$1:$G$1001,,0)</f>
        <v>United States</v>
      </c>
      <c r="J160" s="2" t="str">
        <f>_xlfn.XLOOKUP(Orders[[#This Row],[Customer ID]],customers!$A$1:$A$1001,customers!$F$1:$F$1001,,0)</f>
        <v>Chattanooga</v>
      </c>
      <c r="K160" t="str">
        <f>INDEX(products!$A$1:$G$49,MATCH(orders!$D160,products!$A$1:$A$49,0),MATCH(orders!K$1,products!$A$1:$G$1,0))</f>
        <v>Rob</v>
      </c>
      <c r="L160" t="str">
        <f>INDEX(products!$A$1:$G$49,MATCH(orders!$D160,products!$A$1:$A$49,0),MATCH(orders!L$1,products!$A$1:$G$1,0))</f>
        <v>D</v>
      </c>
      <c r="M160" s="14">
        <f>INDEX(products!$A$1:$G$49,MATCH(orders!$D160,products!$A$1:$A$49,0),MATCH(orders!M$1,products!$A$1:$G$1,0))</f>
        <v>2.5</v>
      </c>
      <c r="N160" s="4">
        <f>INDEX(products!$A$1:$G$49,MATCH(orders!$D160,products!$A$1:$A$49,0),MATCH(orders!N$1,products!$A$1:$G$1,0))</f>
        <v>20.584999999999997</v>
      </c>
      <c r="O160" s="13">
        <f t="shared" si="10"/>
        <v>123.50999999999999</v>
      </c>
      <c r="P160" s="13">
        <f>_xlfn.XLOOKUP(Orders[[#This Row],[Product ID]],products!$A$1:$A$49,products!$G$1:$G$49,,0)</f>
        <v>1.2350999999999999</v>
      </c>
      <c r="Q160" s="13">
        <f t="shared" si="11"/>
        <v>7.4105999999999987</v>
      </c>
      <c r="R160" t="str">
        <f t="shared" si="13"/>
        <v>Robusta</v>
      </c>
      <c r="S160" t="str">
        <f t="shared" si="14"/>
        <v>Dark</v>
      </c>
      <c r="T160" t="str">
        <f>_xlfn.XLOOKUP(Orders[[#This Row],[Customer ID]],customers!$A$1:$A$1001,customers!$I$1:$I$1001,,0)</f>
        <v>Yes</v>
      </c>
    </row>
    <row r="161" spans="1:20" x14ac:dyDescent="0.35">
      <c r="A161" s="2" t="s">
        <v>1384</v>
      </c>
      <c r="B161" s="3">
        <v>44316</v>
      </c>
      <c r="C161" s="2" t="s">
        <v>1385</v>
      </c>
      <c r="D161" t="s">
        <v>6164</v>
      </c>
      <c r="E161" t="str">
        <f t="shared" si="12"/>
        <v>Liberica-Light-2.5</v>
      </c>
      <c r="F161" s="2">
        <v>6</v>
      </c>
      <c r="G161" s="2" t="str" cm="1">
        <f t="array" ref="G161">_xlfn.XLOOKUP(C161, customers!$A$1:A1160,customers!$B$1:B1160,,0)</f>
        <v>Alexa Sizey</v>
      </c>
      <c r="H161" s="2" t="str" cm="1">
        <f t="array" ref="H161">IF(_xlfn.XLOOKUP(C161,customers!$A$1:A1160,customers!$C$1:C1160,,0) = 0,"", _xlfn.XLOOKUP(C161,customers!$A$1:A1160,customers!$C$1:C1160,,0))</f>
        <v/>
      </c>
      <c r="I161" s="2" t="str">
        <f>_xlfn.XLOOKUP(C161,customers!$A$1:$A$1001,customers!$G$1:$G$1001,,0)</f>
        <v>United States</v>
      </c>
      <c r="J161" s="2" t="str">
        <f>_xlfn.XLOOKUP(Orders[[#This Row],[Customer ID]],customers!$A$1:$A$1001,customers!$F$1:$F$1001,,0)</f>
        <v>Portland</v>
      </c>
      <c r="K161" t="str">
        <f>INDEX(products!$A$1:$G$49,MATCH(orders!$D161,products!$A$1:$A$49,0),MATCH(orders!K$1,products!$A$1:$G$1,0))</f>
        <v>Lib</v>
      </c>
      <c r="L161" t="str">
        <f>INDEX(products!$A$1:$G$49,MATCH(orders!$D161,products!$A$1:$A$49,0),MATCH(orders!L$1,products!$A$1:$G$1,0))</f>
        <v>L</v>
      </c>
      <c r="M161" s="14">
        <f>INDEX(products!$A$1:$G$49,MATCH(orders!$D161,products!$A$1:$A$49,0),MATCH(orders!M$1,products!$A$1:$G$1,0))</f>
        <v>2.5</v>
      </c>
      <c r="N161" s="4">
        <f>INDEX(products!$A$1:$G$49,MATCH(orders!$D161,products!$A$1:$A$49,0),MATCH(orders!N$1,products!$A$1:$G$1,0))</f>
        <v>36.454999999999998</v>
      </c>
      <c r="O161" s="13">
        <f t="shared" si="10"/>
        <v>218.73</v>
      </c>
      <c r="P161" s="13">
        <f>_xlfn.XLOOKUP(Orders[[#This Row],[Product ID]],products!$A$1:$A$49,products!$G$1:$G$49,,0)</f>
        <v>4.7391499999999995</v>
      </c>
      <c r="Q161" s="13">
        <f t="shared" si="11"/>
        <v>28.434899999999999</v>
      </c>
      <c r="R161" t="str">
        <f t="shared" si="13"/>
        <v>Liberica</v>
      </c>
      <c r="S161" t="str">
        <f t="shared" si="14"/>
        <v>Light</v>
      </c>
      <c r="T161" t="str">
        <f>_xlfn.XLOOKUP(Orders[[#This Row],[Customer ID]],customers!$A$1:$A$1001,customers!$I$1:$I$1001,,0)</f>
        <v>No</v>
      </c>
    </row>
    <row r="162" spans="1:20" x14ac:dyDescent="0.35">
      <c r="A162" s="2" t="s">
        <v>1389</v>
      </c>
      <c r="B162" s="3">
        <v>43837</v>
      </c>
      <c r="C162" s="2" t="s">
        <v>1390</v>
      </c>
      <c r="D162" t="s">
        <v>6139</v>
      </c>
      <c r="E162" t="str">
        <f t="shared" si="12"/>
        <v>Excelsa-Medium-0.5</v>
      </c>
      <c r="F162" s="2">
        <v>4</v>
      </c>
      <c r="G162" s="2" t="str" cm="1">
        <f t="array" ref="G162">_xlfn.XLOOKUP(C162, customers!$A$1:A1161,customers!$B$1:B1161,,0)</f>
        <v>Kari Swede</v>
      </c>
      <c r="H162" s="2" t="str" cm="1">
        <f t="array" ref="H162">IF(_xlfn.XLOOKUP(C162,customers!$A$1:A1161,customers!$C$1:C1161,,0) = 0,"", _xlfn.XLOOKUP(C162,customers!$A$1:A1161,customers!$C$1:C1161,,0))</f>
        <v>kswede4g@addthis.com</v>
      </c>
      <c r="I162" s="2" t="str">
        <f>_xlfn.XLOOKUP(C162,customers!$A$1:$A$1001,customers!$G$1:$G$1001,,0)</f>
        <v>United States</v>
      </c>
      <c r="J162" s="2" t="str">
        <f>_xlfn.XLOOKUP(Orders[[#This Row],[Customer ID]],customers!$A$1:$A$1001,customers!$F$1:$F$1001,,0)</f>
        <v>Oklahoma City</v>
      </c>
      <c r="K162" t="str">
        <f>INDEX(products!$A$1:$G$49,MATCH(orders!$D162,products!$A$1:$A$49,0),MATCH(orders!K$1,products!$A$1:$G$1,0))</f>
        <v>Exc</v>
      </c>
      <c r="L162" t="str">
        <f>INDEX(products!$A$1:$G$49,MATCH(orders!$D162,products!$A$1:$A$49,0),MATCH(orders!L$1,products!$A$1:$G$1,0))</f>
        <v>M</v>
      </c>
      <c r="M162" s="14">
        <f>INDEX(products!$A$1:$G$49,MATCH(orders!$D162,products!$A$1:$A$49,0),MATCH(orders!M$1,products!$A$1:$G$1,0))</f>
        <v>0.5</v>
      </c>
      <c r="N162" s="4">
        <f>INDEX(products!$A$1:$G$49,MATCH(orders!$D162,products!$A$1:$A$49,0),MATCH(orders!N$1,products!$A$1:$G$1,0))</f>
        <v>8.25</v>
      </c>
      <c r="O162" s="13">
        <f t="shared" si="10"/>
        <v>33</v>
      </c>
      <c r="P162" s="13">
        <f>_xlfn.XLOOKUP(Orders[[#This Row],[Product ID]],products!$A$1:$A$49,products!$G$1:$G$49,,0)</f>
        <v>0.90749999999999997</v>
      </c>
      <c r="Q162" s="13">
        <f t="shared" si="11"/>
        <v>3.63</v>
      </c>
      <c r="R162" t="str">
        <f t="shared" si="13"/>
        <v>Execelsa</v>
      </c>
      <c r="S162" t="str">
        <f t="shared" si="14"/>
        <v>Medium</v>
      </c>
      <c r="T162" t="str">
        <f>_xlfn.XLOOKUP(Orders[[#This Row],[Customer ID]],customers!$A$1:$A$1001,customers!$I$1:$I$1001,,0)</f>
        <v>No</v>
      </c>
    </row>
    <row r="163" spans="1:20" x14ac:dyDescent="0.35">
      <c r="A163" s="2" t="s">
        <v>1395</v>
      </c>
      <c r="B163" s="3">
        <v>44207</v>
      </c>
      <c r="C163" s="2" t="s">
        <v>1396</v>
      </c>
      <c r="D163" t="s">
        <v>6180</v>
      </c>
      <c r="E163" t="str">
        <f t="shared" si="12"/>
        <v>Arabica-Light-0.5</v>
      </c>
      <c r="F163" s="2">
        <v>3</v>
      </c>
      <c r="G163" s="2" t="str" cm="1">
        <f t="array" ref="G163">_xlfn.XLOOKUP(C163, customers!$A$1:A1162,customers!$B$1:B1162,,0)</f>
        <v>Leontine Rubrow</v>
      </c>
      <c r="H163" s="2" t="str" cm="1">
        <f t="array" ref="H163">IF(_xlfn.XLOOKUP(C163,customers!$A$1:A1162,customers!$C$1:C1162,,0) = 0,"", _xlfn.XLOOKUP(C163,customers!$A$1:A1162,customers!$C$1:C1162,,0))</f>
        <v>lrubrow4h@microsoft.com</v>
      </c>
      <c r="I163" s="2" t="str">
        <f>_xlfn.XLOOKUP(C163,customers!$A$1:$A$1001,customers!$G$1:$G$1001,,0)</f>
        <v>United States</v>
      </c>
      <c r="J163" s="2" t="str">
        <f>_xlfn.XLOOKUP(Orders[[#This Row],[Customer ID]],customers!$A$1:$A$1001,customers!$F$1:$F$1001,,0)</f>
        <v>Washington</v>
      </c>
      <c r="K163" t="str">
        <f>INDEX(products!$A$1:$G$49,MATCH(orders!$D163,products!$A$1:$A$49,0),MATCH(orders!K$1,products!$A$1:$G$1,0))</f>
        <v>Ara</v>
      </c>
      <c r="L163" t="str">
        <f>INDEX(products!$A$1:$G$49,MATCH(orders!$D163,products!$A$1:$A$49,0),MATCH(orders!L$1,products!$A$1:$G$1,0))</f>
        <v>L</v>
      </c>
      <c r="M163" s="14">
        <f>INDEX(products!$A$1:$G$49,MATCH(orders!$D163,products!$A$1:$A$49,0),MATCH(orders!M$1,products!$A$1:$G$1,0))</f>
        <v>0.5</v>
      </c>
      <c r="N163" s="4">
        <f>INDEX(products!$A$1:$G$49,MATCH(orders!$D163,products!$A$1:$A$49,0),MATCH(orders!N$1,products!$A$1:$G$1,0))</f>
        <v>7.77</v>
      </c>
      <c r="O163" s="13">
        <f t="shared" si="10"/>
        <v>23.31</v>
      </c>
      <c r="P163" s="13">
        <f>_xlfn.XLOOKUP(Orders[[#This Row],[Product ID]],products!$A$1:$A$49,products!$G$1:$G$49,,0)</f>
        <v>0.69929999999999992</v>
      </c>
      <c r="Q163" s="13">
        <f t="shared" si="11"/>
        <v>2.0978999999999997</v>
      </c>
      <c r="R163" t="str">
        <f t="shared" si="13"/>
        <v>Arabica</v>
      </c>
      <c r="S163" t="str">
        <f t="shared" si="14"/>
        <v>Light</v>
      </c>
      <c r="T163" t="str">
        <f>_xlfn.XLOOKUP(Orders[[#This Row],[Customer ID]],customers!$A$1:$A$1001,customers!$I$1:$I$1001,,0)</f>
        <v>No</v>
      </c>
    </row>
    <row r="164" spans="1:20" x14ac:dyDescent="0.35">
      <c r="A164" s="2" t="s">
        <v>1401</v>
      </c>
      <c r="B164" s="3">
        <v>44515</v>
      </c>
      <c r="C164" s="2" t="s">
        <v>1402</v>
      </c>
      <c r="D164" t="s">
        <v>6144</v>
      </c>
      <c r="E164" t="str">
        <f t="shared" si="12"/>
        <v>Excelsa-Dark-0.5</v>
      </c>
      <c r="F164" s="2">
        <v>3</v>
      </c>
      <c r="G164" s="2" t="str" cm="1">
        <f t="array" ref="G164">_xlfn.XLOOKUP(C164, customers!$A$1:A1163,customers!$B$1:B1163,,0)</f>
        <v>Dottie Tift</v>
      </c>
      <c r="H164" s="2" t="str" cm="1">
        <f t="array" ref="H164">IF(_xlfn.XLOOKUP(C164,customers!$A$1:A1163,customers!$C$1:C1163,,0) = 0,"", _xlfn.XLOOKUP(C164,customers!$A$1:A1163,customers!$C$1:C1163,,0))</f>
        <v>dtift4i@netvibes.com</v>
      </c>
      <c r="I164" s="2" t="str">
        <f>_xlfn.XLOOKUP(C164,customers!$A$1:$A$1001,customers!$G$1:$G$1001,,0)</f>
        <v>United States</v>
      </c>
      <c r="J164" s="2" t="str">
        <f>_xlfn.XLOOKUP(Orders[[#This Row],[Customer ID]],customers!$A$1:$A$1001,customers!$F$1:$F$1001,,0)</f>
        <v>Greensboro</v>
      </c>
      <c r="K164" t="str">
        <f>INDEX(products!$A$1:$G$49,MATCH(orders!$D164,products!$A$1:$A$49,0),MATCH(orders!K$1,products!$A$1:$G$1,0))</f>
        <v>Exc</v>
      </c>
      <c r="L164" t="str">
        <f>INDEX(products!$A$1:$G$49,MATCH(orders!$D164,products!$A$1:$A$49,0),MATCH(orders!L$1,products!$A$1:$G$1,0))</f>
        <v>D</v>
      </c>
      <c r="M164" s="14">
        <f>INDEX(products!$A$1:$G$49,MATCH(orders!$D164,products!$A$1:$A$49,0),MATCH(orders!M$1,products!$A$1:$G$1,0))</f>
        <v>0.5</v>
      </c>
      <c r="N164" s="4">
        <f>INDEX(products!$A$1:$G$49,MATCH(orders!$D164,products!$A$1:$A$49,0),MATCH(orders!N$1,products!$A$1:$G$1,0))</f>
        <v>7.29</v>
      </c>
      <c r="O164" s="13">
        <f t="shared" si="10"/>
        <v>21.87</v>
      </c>
      <c r="P164" s="13">
        <f>_xlfn.XLOOKUP(Orders[[#This Row],[Product ID]],products!$A$1:$A$49,products!$G$1:$G$49,,0)</f>
        <v>0.80190000000000006</v>
      </c>
      <c r="Q164" s="13">
        <f t="shared" si="11"/>
        <v>2.4057000000000004</v>
      </c>
      <c r="R164" t="str">
        <f t="shared" si="13"/>
        <v>Execelsa</v>
      </c>
      <c r="S164" t="str">
        <f t="shared" si="14"/>
        <v>Dark</v>
      </c>
      <c r="T164" t="str">
        <f>_xlfn.XLOOKUP(Orders[[#This Row],[Customer ID]],customers!$A$1:$A$1001,customers!$I$1:$I$1001,,0)</f>
        <v>Yes</v>
      </c>
    </row>
    <row r="165" spans="1:20" x14ac:dyDescent="0.35">
      <c r="A165" s="2" t="s">
        <v>1407</v>
      </c>
      <c r="B165" s="3">
        <v>43619</v>
      </c>
      <c r="C165" s="2" t="s">
        <v>1408</v>
      </c>
      <c r="D165" t="s">
        <v>6163</v>
      </c>
      <c r="E165" t="str">
        <f t="shared" si="12"/>
        <v>Robusta-Dark-0.2</v>
      </c>
      <c r="F165" s="2">
        <v>6</v>
      </c>
      <c r="G165" s="2" t="str" cm="1">
        <f t="array" ref="G165">_xlfn.XLOOKUP(C165, customers!$A$1:A1164,customers!$B$1:B1164,,0)</f>
        <v>Gerardo Schonfeld</v>
      </c>
      <c r="H165" s="2" t="str" cm="1">
        <f t="array" ref="H165">IF(_xlfn.XLOOKUP(C165,customers!$A$1:A1164,customers!$C$1:C1164,,0) = 0,"", _xlfn.XLOOKUP(C165,customers!$A$1:A1164,customers!$C$1:C1164,,0))</f>
        <v>gschonfeld4j@oracle.com</v>
      </c>
      <c r="I165" s="2" t="str">
        <f>_xlfn.XLOOKUP(C165,customers!$A$1:$A$1001,customers!$G$1:$G$1001,,0)</f>
        <v>United States</v>
      </c>
      <c r="J165" s="2" t="str">
        <f>_xlfn.XLOOKUP(Orders[[#This Row],[Customer ID]],customers!$A$1:$A$1001,customers!$F$1:$F$1001,,0)</f>
        <v>Alexandria</v>
      </c>
      <c r="K165" t="str">
        <f>INDEX(products!$A$1:$G$49,MATCH(orders!$D165,products!$A$1:$A$49,0),MATCH(orders!K$1,products!$A$1:$G$1,0))</f>
        <v>Rob</v>
      </c>
      <c r="L165" t="str">
        <f>INDEX(products!$A$1:$G$49,MATCH(orders!$D165,products!$A$1:$A$49,0),MATCH(orders!L$1,products!$A$1:$G$1,0))</f>
        <v>D</v>
      </c>
      <c r="M165" s="14">
        <f>INDEX(products!$A$1:$G$49,MATCH(orders!$D165,products!$A$1:$A$49,0),MATCH(orders!M$1,products!$A$1:$G$1,0))</f>
        <v>0.2</v>
      </c>
      <c r="N165" s="4">
        <f>INDEX(products!$A$1:$G$49,MATCH(orders!$D165,products!$A$1:$A$49,0),MATCH(orders!N$1,products!$A$1:$G$1,0))</f>
        <v>2.6849999999999996</v>
      </c>
      <c r="O165" s="13">
        <f t="shared" si="10"/>
        <v>16.11</v>
      </c>
      <c r="P165" s="13">
        <f>_xlfn.XLOOKUP(Orders[[#This Row],[Product ID]],products!$A$1:$A$49,products!$G$1:$G$49,,0)</f>
        <v>0.16109999999999997</v>
      </c>
      <c r="Q165" s="13">
        <f t="shared" si="11"/>
        <v>0.96659999999999979</v>
      </c>
      <c r="R165" t="str">
        <f t="shared" si="13"/>
        <v>Robusta</v>
      </c>
      <c r="S165" t="str">
        <f t="shared" si="14"/>
        <v>Dark</v>
      </c>
      <c r="T165" t="str">
        <f>_xlfn.XLOOKUP(Orders[[#This Row],[Customer ID]],customers!$A$1:$A$1001,customers!$I$1:$I$1001,,0)</f>
        <v>No</v>
      </c>
    </row>
    <row r="166" spans="1:20" x14ac:dyDescent="0.35">
      <c r="A166" s="2" t="s">
        <v>1413</v>
      </c>
      <c r="B166" s="3">
        <v>44182</v>
      </c>
      <c r="C166" s="2" t="s">
        <v>1414</v>
      </c>
      <c r="D166" t="s">
        <v>6144</v>
      </c>
      <c r="E166" t="str">
        <f t="shared" si="12"/>
        <v>Excelsa-Dark-0.5</v>
      </c>
      <c r="F166" s="2">
        <v>4</v>
      </c>
      <c r="G166" s="2" t="str" cm="1">
        <f t="array" ref="G166">_xlfn.XLOOKUP(C166, customers!$A$1:A1165,customers!$B$1:B1165,,0)</f>
        <v>Claiborne Feye</v>
      </c>
      <c r="H166" s="2" t="str" cm="1">
        <f t="array" ref="H166">IF(_xlfn.XLOOKUP(C166,customers!$A$1:A1165,customers!$C$1:C1165,,0) = 0,"", _xlfn.XLOOKUP(C166,customers!$A$1:A1165,customers!$C$1:C1165,,0))</f>
        <v>cfeye4k@google.co.jp</v>
      </c>
      <c r="I166" s="2" t="str">
        <f>_xlfn.XLOOKUP(C166,customers!$A$1:$A$1001,customers!$G$1:$G$1001,,0)</f>
        <v>Ireland</v>
      </c>
      <c r="J166" s="2" t="str">
        <f>_xlfn.XLOOKUP(Orders[[#This Row],[Customer ID]],customers!$A$1:$A$1001,customers!$F$1:$F$1001,,0)</f>
        <v>Castlebridge</v>
      </c>
      <c r="K166" t="str">
        <f>INDEX(products!$A$1:$G$49,MATCH(orders!$D166,products!$A$1:$A$49,0),MATCH(orders!K$1,products!$A$1:$G$1,0))</f>
        <v>Exc</v>
      </c>
      <c r="L166" t="str">
        <f>INDEX(products!$A$1:$G$49,MATCH(orders!$D166,products!$A$1:$A$49,0),MATCH(orders!L$1,products!$A$1:$G$1,0))</f>
        <v>D</v>
      </c>
      <c r="M166" s="14">
        <f>INDEX(products!$A$1:$G$49,MATCH(orders!$D166,products!$A$1:$A$49,0),MATCH(orders!M$1,products!$A$1:$G$1,0))</f>
        <v>0.5</v>
      </c>
      <c r="N166" s="4">
        <f>INDEX(products!$A$1:$G$49,MATCH(orders!$D166,products!$A$1:$A$49,0),MATCH(orders!N$1,products!$A$1:$G$1,0))</f>
        <v>7.29</v>
      </c>
      <c r="O166" s="13">
        <f t="shared" si="10"/>
        <v>29.16</v>
      </c>
      <c r="P166" s="13">
        <f>_xlfn.XLOOKUP(Orders[[#This Row],[Product ID]],products!$A$1:$A$49,products!$G$1:$G$49,,0)</f>
        <v>0.80190000000000006</v>
      </c>
      <c r="Q166" s="13">
        <f t="shared" si="11"/>
        <v>3.2076000000000002</v>
      </c>
      <c r="R166" t="str">
        <f t="shared" si="13"/>
        <v>Execelsa</v>
      </c>
      <c r="S166" t="str">
        <f t="shared" si="14"/>
        <v>Dark</v>
      </c>
      <c r="T166" t="str">
        <f>_xlfn.XLOOKUP(Orders[[#This Row],[Customer ID]],customers!$A$1:$A$1001,customers!$I$1:$I$1001,,0)</f>
        <v>No</v>
      </c>
    </row>
    <row r="167" spans="1:20" x14ac:dyDescent="0.35">
      <c r="A167" s="2" t="s">
        <v>1420</v>
      </c>
      <c r="B167" s="3">
        <v>44234</v>
      </c>
      <c r="C167" s="2" t="s">
        <v>1421</v>
      </c>
      <c r="D167" t="s">
        <v>6177</v>
      </c>
      <c r="E167" t="str">
        <f t="shared" si="12"/>
        <v>Robusta-Dark-1</v>
      </c>
      <c r="F167" s="2">
        <v>6</v>
      </c>
      <c r="G167" s="2" t="str" cm="1">
        <f t="array" ref="G167">_xlfn.XLOOKUP(C167, customers!$A$1:A1166,customers!$B$1:B1166,,0)</f>
        <v>Mina Elstone</v>
      </c>
      <c r="H167" s="2" t="str" cm="1">
        <f t="array" ref="H167">IF(_xlfn.XLOOKUP(C167,customers!$A$1:A1166,customers!$C$1:C1166,,0) = 0,"", _xlfn.XLOOKUP(C167,customers!$A$1:A1166,customers!$C$1:C1166,,0))</f>
        <v/>
      </c>
      <c r="I167" s="2" t="str">
        <f>_xlfn.XLOOKUP(C167,customers!$A$1:$A$1001,customers!$G$1:$G$1001,,0)</f>
        <v>United States</v>
      </c>
      <c r="J167" s="2" t="str">
        <f>_xlfn.XLOOKUP(Orders[[#This Row],[Customer ID]],customers!$A$1:$A$1001,customers!$F$1:$F$1001,,0)</f>
        <v>Racine</v>
      </c>
      <c r="K167" t="str">
        <f>INDEX(products!$A$1:$G$49,MATCH(orders!$D167,products!$A$1:$A$49,0),MATCH(orders!K$1,products!$A$1:$G$1,0))</f>
        <v>Rob</v>
      </c>
      <c r="L167" t="str">
        <f>INDEX(products!$A$1:$G$49,MATCH(orders!$D167,products!$A$1:$A$49,0),MATCH(orders!L$1,products!$A$1:$G$1,0))</f>
        <v>D</v>
      </c>
      <c r="M167" s="14">
        <f>INDEX(products!$A$1:$G$49,MATCH(orders!$D167,products!$A$1:$A$49,0),MATCH(orders!M$1,products!$A$1:$G$1,0))</f>
        <v>1</v>
      </c>
      <c r="N167" s="4">
        <f>INDEX(products!$A$1:$G$49,MATCH(orders!$D167,products!$A$1:$A$49,0),MATCH(orders!N$1,products!$A$1:$G$1,0))</f>
        <v>8.9499999999999993</v>
      </c>
      <c r="O167" s="13">
        <f t="shared" si="10"/>
        <v>53.699999999999996</v>
      </c>
      <c r="P167" s="13">
        <f>_xlfn.XLOOKUP(Orders[[#This Row],[Product ID]],products!$A$1:$A$49,products!$G$1:$G$49,,0)</f>
        <v>0.53699999999999992</v>
      </c>
      <c r="Q167" s="13">
        <f t="shared" si="11"/>
        <v>3.2219999999999995</v>
      </c>
      <c r="R167" t="str">
        <f t="shared" si="13"/>
        <v>Robusta</v>
      </c>
      <c r="S167" t="str">
        <f t="shared" si="14"/>
        <v>Dark</v>
      </c>
      <c r="T167" t="str">
        <f>_xlfn.XLOOKUP(Orders[[#This Row],[Customer ID]],customers!$A$1:$A$1001,customers!$I$1:$I$1001,,0)</f>
        <v>Yes</v>
      </c>
    </row>
    <row r="168" spans="1:20" x14ac:dyDescent="0.35">
      <c r="A168" s="2" t="s">
        <v>1425</v>
      </c>
      <c r="B168" s="3">
        <v>44270</v>
      </c>
      <c r="C168" s="2" t="s">
        <v>1426</v>
      </c>
      <c r="D168" t="s">
        <v>6172</v>
      </c>
      <c r="E168" t="str">
        <f t="shared" si="12"/>
        <v>Robusta-Dark-0.5</v>
      </c>
      <c r="F168" s="2">
        <v>5</v>
      </c>
      <c r="G168" s="2" t="str" cm="1">
        <f t="array" ref="G168">_xlfn.XLOOKUP(C168, customers!$A$1:A1167,customers!$B$1:B1167,,0)</f>
        <v>Sherman Mewrcik</v>
      </c>
      <c r="H168" s="2" t="str" cm="1">
        <f t="array" ref="H168">IF(_xlfn.XLOOKUP(C168,customers!$A$1:A1167,customers!$C$1:C1167,,0) = 0,"", _xlfn.XLOOKUP(C168,customers!$A$1:A1167,customers!$C$1:C1167,,0))</f>
        <v/>
      </c>
      <c r="I168" s="2" t="str">
        <f>_xlfn.XLOOKUP(C168,customers!$A$1:$A$1001,customers!$G$1:$G$1001,,0)</f>
        <v>United States</v>
      </c>
      <c r="J168" s="2" t="str">
        <f>_xlfn.XLOOKUP(Orders[[#This Row],[Customer ID]],customers!$A$1:$A$1001,customers!$F$1:$F$1001,,0)</f>
        <v>Clearwater</v>
      </c>
      <c r="K168" t="str">
        <f>INDEX(products!$A$1:$G$49,MATCH(orders!$D168,products!$A$1:$A$49,0),MATCH(orders!K$1,products!$A$1:$G$1,0))</f>
        <v>Rob</v>
      </c>
      <c r="L168" t="str">
        <f>INDEX(products!$A$1:$G$49,MATCH(orders!$D168,products!$A$1:$A$49,0),MATCH(orders!L$1,products!$A$1:$G$1,0))</f>
        <v>D</v>
      </c>
      <c r="M168" s="14">
        <f>INDEX(products!$A$1:$G$49,MATCH(orders!$D168,products!$A$1:$A$49,0),MATCH(orders!M$1,products!$A$1:$G$1,0))</f>
        <v>0.5</v>
      </c>
      <c r="N168" s="4">
        <f>INDEX(products!$A$1:$G$49,MATCH(orders!$D168,products!$A$1:$A$49,0),MATCH(orders!N$1,products!$A$1:$G$1,0))</f>
        <v>5.3699999999999992</v>
      </c>
      <c r="O168" s="13">
        <f t="shared" si="10"/>
        <v>26.849999999999994</v>
      </c>
      <c r="P168" s="13">
        <f>_xlfn.XLOOKUP(Orders[[#This Row],[Product ID]],products!$A$1:$A$49,products!$G$1:$G$49,,0)</f>
        <v>0.32219999999999993</v>
      </c>
      <c r="Q168" s="13">
        <f t="shared" si="11"/>
        <v>1.6109999999999998</v>
      </c>
      <c r="R168" t="str">
        <f t="shared" si="13"/>
        <v>Robusta</v>
      </c>
      <c r="S168" t="str">
        <f t="shared" si="14"/>
        <v>Dark</v>
      </c>
      <c r="T168" t="str">
        <f>_xlfn.XLOOKUP(Orders[[#This Row],[Customer ID]],customers!$A$1:$A$1001,customers!$I$1:$I$1001,,0)</f>
        <v>Yes</v>
      </c>
    </row>
    <row r="169" spans="1:20" x14ac:dyDescent="0.35">
      <c r="A169" s="2" t="s">
        <v>1430</v>
      </c>
      <c r="B169" s="3">
        <v>44777</v>
      </c>
      <c r="C169" s="2" t="s">
        <v>1431</v>
      </c>
      <c r="D169" t="s">
        <v>6139</v>
      </c>
      <c r="E169" t="str">
        <f t="shared" si="12"/>
        <v>Excelsa-Medium-0.5</v>
      </c>
      <c r="F169" s="2">
        <v>5</v>
      </c>
      <c r="G169" s="2" t="str" cm="1">
        <f t="array" ref="G169">_xlfn.XLOOKUP(C169, customers!$A$1:A1168,customers!$B$1:B1168,,0)</f>
        <v>Tamarah Fero</v>
      </c>
      <c r="H169" s="2" t="str" cm="1">
        <f t="array" ref="H169">IF(_xlfn.XLOOKUP(C169,customers!$A$1:A1168,customers!$C$1:C1168,,0) = 0,"", _xlfn.XLOOKUP(C169,customers!$A$1:A1168,customers!$C$1:C1168,,0))</f>
        <v>tfero4n@comsenz.com</v>
      </c>
      <c r="I169" s="2" t="str">
        <f>_xlfn.XLOOKUP(C169,customers!$A$1:$A$1001,customers!$G$1:$G$1001,,0)</f>
        <v>United States</v>
      </c>
      <c r="J169" s="2" t="str">
        <f>_xlfn.XLOOKUP(Orders[[#This Row],[Customer ID]],customers!$A$1:$A$1001,customers!$F$1:$F$1001,,0)</f>
        <v>Racine</v>
      </c>
      <c r="K169" t="str">
        <f>INDEX(products!$A$1:$G$49,MATCH(orders!$D169,products!$A$1:$A$49,0),MATCH(orders!K$1,products!$A$1:$G$1,0))</f>
        <v>Exc</v>
      </c>
      <c r="L169" t="str">
        <f>INDEX(products!$A$1:$G$49,MATCH(orders!$D169,products!$A$1:$A$49,0),MATCH(orders!L$1,products!$A$1:$G$1,0))</f>
        <v>M</v>
      </c>
      <c r="M169" s="14">
        <f>INDEX(products!$A$1:$G$49,MATCH(orders!$D169,products!$A$1:$A$49,0),MATCH(orders!M$1,products!$A$1:$G$1,0))</f>
        <v>0.5</v>
      </c>
      <c r="N169" s="4">
        <f>INDEX(products!$A$1:$G$49,MATCH(orders!$D169,products!$A$1:$A$49,0),MATCH(orders!N$1,products!$A$1:$G$1,0))</f>
        <v>8.25</v>
      </c>
      <c r="O169" s="13">
        <f t="shared" si="10"/>
        <v>41.25</v>
      </c>
      <c r="P169" s="13">
        <f>_xlfn.XLOOKUP(Orders[[#This Row],[Product ID]],products!$A$1:$A$49,products!$G$1:$G$49,,0)</f>
        <v>0.90749999999999997</v>
      </c>
      <c r="Q169" s="13">
        <f t="shared" si="11"/>
        <v>4.5374999999999996</v>
      </c>
      <c r="R169" t="str">
        <f t="shared" si="13"/>
        <v>Execelsa</v>
      </c>
      <c r="S169" t="str">
        <f t="shared" si="14"/>
        <v>Medium</v>
      </c>
      <c r="T169" t="str">
        <f>_xlfn.XLOOKUP(Orders[[#This Row],[Customer ID]],customers!$A$1:$A$1001,customers!$I$1:$I$1001,,0)</f>
        <v>Yes</v>
      </c>
    </row>
    <row r="170" spans="1:20" x14ac:dyDescent="0.35">
      <c r="A170" s="2" t="s">
        <v>1436</v>
      </c>
      <c r="B170" s="3">
        <v>43484</v>
      </c>
      <c r="C170" s="2" t="s">
        <v>1437</v>
      </c>
      <c r="D170" t="s">
        <v>6157</v>
      </c>
      <c r="E170" t="str">
        <f t="shared" si="12"/>
        <v>Arabica-Medium-0.5</v>
      </c>
      <c r="F170" s="2">
        <v>6</v>
      </c>
      <c r="G170" s="2" t="str" cm="1">
        <f t="array" ref="G170">_xlfn.XLOOKUP(C170, customers!$A$1:A1169,customers!$B$1:B1169,,0)</f>
        <v>Stanislaus Valsler</v>
      </c>
      <c r="H170" s="2" t="str" cm="1">
        <f t="array" ref="H170">IF(_xlfn.XLOOKUP(C170,customers!$A$1:A1169,customers!$C$1:C1169,,0) = 0,"", _xlfn.XLOOKUP(C170,customers!$A$1:A1169,customers!$C$1:C1169,,0))</f>
        <v/>
      </c>
      <c r="I170" s="2" t="str">
        <f>_xlfn.XLOOKUP(C170,customers!$A$1:$A$1001,customers!$G$1:$G$1001,,0)</f>
        <v>Ireland</v>
      </c>
      <c r="J170" s="2" t="str">
        <f>_xlfn.XLOOKUP(Orders[[#This Row],[Customer ID]],customers!$A$1:$A$1001,customers!$F$1:$F$1001,,0)</f>
        <v>Castlebridge</v>
      </c>
      <c r="K170" t="str">
        <f>INDEX(products!$A$1:$G$49,MATCH(orders!$D170,products!$A$1:$A$49,0),MATCH(orders!K$1,products!$A$1:$G$1,0))</f>
        <v>Ara</v>
      </c>
      <c r="L170" t="str">
        <f>INDEX(products!$A$1:$G$49,MATCH(orders!$D170,products!$A$1:$A$49,0),MATCH(orders!L$1,products!$A$1:$G$1,0))</f>
        <v>M</v>
      </c>
      <c r="M170" s="14">
        <f>INDEX(products!$A$1:$G$49,MATCH(orders!$D170,products!$A$1:$A$49,0),MATCH(orders!M$1,products!$A$1:$G$1,0))</f>
        <v>0.5</v>
      </c>
      <c r="N170" s="4">
        <f>INDEX(products!$A$1:$G$49,MATCH(orders!$D170,products!$A$1:$A$49,0),MATCH(orders!N$1,products!$A$1:$G$1,0))</f>
        <v>6.75</v>
      </c>
      <c r="O170" s="13">
        <f t="shared" si="10"/>
        <v>40.5</v>
      </c>
      <c r="P170" s="13">
        <f>_xlfn.XLOOKUP(Orders[[#This Row],[Product ID]],products!$A$1:$A$49,products!$G$1:$G$49,,0)</f>
        <v>0.60749999999999993</v>
      </c>
      <c r="Q170" s="13">
        <f t="shared" si="11"/>
        <v>3.6449999999999996</v>
      </c>
      <c r="R170" t="str">
        <f t="shared" si="13"/>
        <v>Arabica</v>
      </c>
      <c r="S170" t="str">
        <f t="shared" si="14"/>
        <v>Medium</v>
      </c>
      <c r="T170" t="str">
        <f>_xlfn.XLOOKUP(Orders[[#This Row],[Customer ID]],customers!$A$1:$A$1001,customers!$I$1:$I$1001,,0)</f>
        <v>No</v>
      </c>
    </row>
    <row r="171" spans="1:20" x14ac:dyDescent="0.35">
      <c r="A171" s="2" t="s">
        <v>1441</v>
      </c>
      <c r="B171" s="3">
        <v>44643</v>
      </c>
      <c r="C171" s="2" t="s">
        <v>1442</v>
      </c>
      <c r="D171" t="s">
        <v>6177</v>
      </c>
      <c r="E171" t="str">
        <f t="shared" si="12"/>
        <v>Robusta-Dark-1</v>
      </c>
      <c r="F171" s="2">
        <v>2</v>
      </c>
      <c r="G171" s="2" t="str" cm="1">
        <f t="array" ref="G171">_xlfn.XLOOKUP(C171, customers!$A$1:A1170,customers!$B$1:B1170,,0)</f>
        <v>Felita Dauney</v>
      </c>
      <c r="H171" s="2" t="str" cm="1">
        <f t="array" ref="H171">IF(_xlfn.XLOOKUP(C171,customers!$A$1:A1170,customers!$C$1:C1170,,0) = 0,"", _xlfn.XLOOKUP(C171,customers!$A$1:A1170,customers!$C$1:C1170,,0))</f>
        <v>fdauney4p@sphinn.com</v>
      </c>
      <c r="I171" s="2" t="str">
        <f>_xlfn.XLOOKUP(C171,customers!$A$1:$A$1001,customers!$G$1:$G$1001,,0)</f>
        <v>Ireland</v>
      </c>
      <c r="J171" s="2" t="str">
        <f>_xlfn.XLOOKUP(Orders[[#This Row],[Customer ID]],customers!$A$1:$A$1001,customers!$F$1:$F$1001,,0)</f>
        <v>Castlebellingham</v>
      </c>
      <c r="K171" t="str">
        <f>INDEX(products!$A$1:$G$49,MATCH(orders!$D171,products!$A$1:$A$49,0),MATCH(orders!K$1,products!$A$1:$G$1,0))</f>
        <v>Rob</v>
      </c>
      <c r="L171" t="str">
        <f>INDEX(products!$A$1:$G$49,MATCH(orders!$D171,products!$A$1:$A$49,0),MATCH(orders!L$1,products!$A$1:$G$1,0))</f>
        <v>D</v>
      </c>
      <c r="M171" s="14">
        <f>INDEX(products!$A$1:$G$49,MATCH(orders!$D171,products!$A$1:$A$49,0),MATCH(orders!M$1,products!$A$1:$G$1,0))</f>
        <v>1</v>
      </c>
      <c r="N171" s="4">
        <f>INDEX(products!$A$1:$G$49,MATCH(orders!$D171,products!$A$1:$A$49,0),MATCH(orders!N$1,products!$A$1:$G$1,0))</f>
        <v>8.9499999999999993</v>
      </c>
      <c r="O171" s="13">
        <f t="shared" si="10"/>
        <v>17.899999999999999</v>
      </c>
      <c r="P171" s="13">
        <f>_xlfn.XLOOKUP(Orders[[#This Row],[Product ID]],products!$A$1:$A$49,products!$G$1:$G$49,,0)</f>
        <v>0.53699999999999992</v>
      </c>
      <c r="Q171" s="13">
        <f t="shared" si="11"/>
        <v>1.0739999999999998</v>
      </c>
      <c r="R171" t="str">
        <f t="shared" si="13"/>
        <v>Robusta</v>
      </c>
      <c r="S171" t="str">
        <f t="shared" si="14"/>
        <v>Dark</v>
      </c>
      <c r="T171" t="str">
        <f>_xlfn.XLOOKUP(Orders[[#This Row],[Customer ID]],customers!$A$1:$A$1001,customers!$I$1:$I$1001,,0)</f>
        <v>No</v>
      </c>
    </row>
    <row r="172" spans="1:20" x14ac:dyDescent="0.35">
      <c r="A172" s="2" t="s">
        <v>1448</v>
      </c>
      <c r="B172" s="3">
        <v>44476</v>
      </c>
      <c r="C172" s="2" t="s">
        <v>1449</v>
      </c>
      <c r="D172" t="s">
        <v>6148</v>
      </c>
      <c r="E172" t="str">
        <f t="shared" si="12"/>
        <v>Excelsa-Light-2.5</v>
      </c>
      <c r="F172" s="2">
        <v>2</v>
      </c>
      <c r="G172" s="2" t="str" cm="1">
        <f t="array" ref="G172">_xlfn.XLOOKUP(C172, customers!$A$1:A1171,customers!$B$1:B1171,,0)</f>
        <v>Serena Earley</v>
      </c>
      <c r="H172" s="2" t="str" cm="1">
        <f t="array" ref="H172">IF(_xlfn.XLOOKUP(C172,customers!$A$1:A1171,customers!$C$1:C1171,,0) = 0,"", _xlfn.XLOOKUP(C172,customers!$A$1:A1171,customers!$C$1:C1171,,0))</f>
        <v>searley4q@youku.com</v>
      </c>
      <c r="I172" s="2" t="str">
        <f>_xlfn.XLOOKUP(C172,customers!$A$1:$A$1001,customers!$G$1:$G$1001,,0)</f>
        <v>United Kingdom</v>
      </c>
      <c r="J172" s="2" t="str">
        <f>_xlfn.XLOOKUP(Orders[[#This Row],[Customer ID]],customers!$A$1:$A$1001,customers!$F$1:$F$1001,,0)</f>
        <v>Craigavon</v>
      </c>
      <c r="K172" t="str">
        <f>INDEX(products!$A$1:$G$49,MATCH(orders!$D172,products!$A$1:$A$49,0),MATCH(orders!K$1,products!$A$1:$G$1,0))</f>
        <v>Exc</v>
      </c>
      <c r="L172" t="str">
        <f>INDEX(products!$A$1:$G$49,MATCH(orders!$D172,products!$A$1:$A$49,0),MATCH(orders!L$1,products!$A$1:$G$1,0))</f>
        <v>L</v>
      </c>
      <c r="M172" s="14">
        <f>INDEX(products!$A$1:$G$49,MATCH(orders!$D172,products!$A$1:$A$49,0),MATCH(orders!M$1,products!$A$1:$G$1,0))</f>
        <v>2.5</v>
      </c>
      <c r="N172" s="4">
        <f>INDEX(products!$A$1:$G$49,MATCH(orders!$D172,products!$A$1:$A$49,0),MATCH(orders!N$1,products!$A$1:$G$1,0))</f>
        <v>34.154999999999994</v>
      </c>
      <c r="O172" s="13">
        <f t="shared" si="10"/>
        <v>68.309999999999988</v>
      </c>
      <c r="P172" s="13">
        <f>_xlfn.XLOOKUP(Orders[[#This Row],[Product ID]],products!$A$1:$A$49,products!$G$1:$G$49,,0)</f>
        <v>3.7570499999999996</v>
      </c>
      <c r="Q172" s="13">
        <f t="shared" si="11"/>
        <v>7.5140999999999991</v>
      </c>
      <c r="R172" t="str">
        <f t="shared" si="13"/>
        <v>Execelsa</v>
      </c>
      <c r="S172" t="str">
        <f t="shared" si="14"/>
        <v>Light</v>
      </c>
      <c r="T172" t="str">
        <f>_xlfn.XLOOKUP(Orders[[#This Row],[Customer ID]],customers!$A$1:$A$1001,customers!$I$1:$I$1001,,0)</f>
        <v>No</v>
      </c>
    </row>
    <row r="173" spans="1:20" x14ac:dyDescent="0.35">
      <c r="A173" s="2" t="s">
        <v>1453</v>
      </c>
      <c r="B173" s="3">
        <v>43544</v>
      </c>
      <c r="C173" s="2" t="s">
        <v>1454</v>
      </c>
      <c r="D173" t="s">
        <v>6166</v>
      </c>
      <c r="E173" t="str">
        <f t="shared" si="12"/>
        <v>Excelsa-Medium-2.5</v>
      </c>
      <c r="F173" s="2">
        <v>2</v>
      </c>
      <c r="G173" s="2" t="str" cm="1">
        <f t="array" ref="G173">_xlfn.XLOOKUP(C173, customers!$A$1:A1172,customers!$B$1:B1172,,0)</f>
        <v>Minny Chamberlayne</v>
      </c>
      <c r="H173" s="2" t="str" cm="1">
        <f t="array" ref="H173">IF(_xlfn.XLOOKUP(C173,customers!$A$1:A1172,customers!$C$1:C1172,,0) = 0,"", _xlfn.XLOOKUP(C173,customers!$A$1:A1172,customers!$C$1:C1172,,0))</f>
        <v>mchamberlayne4r@bigcartel.com</v>
      </c>
      <c r="I173" s="2" t="str">
        <f>_xlfn.XLOOKUP(C173,customers!$A$1:$A$1001,customers!$G$1:$G$1001,,0)</f>
        <v>United States</v>
      </c>
      <c r="J173" s="2" t="str">
        <f>_xlfn.XLOOKUP(Orders[[#This Row],[Customer ID]],customers!$A$1:$A$1001,customers!$F$1:$F$1001,,0)</f>
        <v>Tampa</v>
      </c>
      <c r="K173" t="str">
        <f>INDEX(products!$A$1:$G$49,MATCH(orders!$D173,products!$A$1:$A$49,0),MATCH(orders!K$1,products!$A$1:$G$1,0))</f>
        <v>Exc</v>
      </c>
      <c r="L173" t="str">
        <f>INDEX(products!$A$1:$G$49,MATCH(orders!$D173,products!$A$1:$A$49,0),MATCH(orders!L$1,products!$A$1:$G$1,0))</f>
        <v>M</v>
      </c>
      <c r="M173" s="14">
        <f>INDEX(products!$A$1:$G$49,MATCH(orders!$D173,products!$A$1:$A$49,0),MATCH(orders!M$1,products!$A$1:$G$1,0))</f>
        <v>2.5</v>
      </c>
      <c r="N173" s="4">
        <f>INDEX(products!$A$1:$G$49,MATCH(orders!$D173,products!$A$1:$A$49,0),MATCH(orders!N$1,products!$A$1:$G$1,0))</f>
        <v>31.624999999999996</v>
      </c>
      <c r="O173" s="13">
        <f t="shared" si="10"/>
        <v>63.249999999999993</v>
      </c>
      <c r="P173" s="13">
        <f>_xlfn.XLOOKUP(Orders[[#This Row],[Product ID]],products!$A$1:$A$49,products!$G$1:$G$49,,0)</f>
        <v>3.4787499999999998</v>
      </c>
      <c r="Q173" s="13">
        <f t="shared" si="11"/>
        <v>6.9574999999999996</v>
      </c>
      <c r="R173" t="str">
        <f t="shared" si="13"/>
        <v>Execelsa</v>
      </c>
      <c r="S173" t="str">
        <f t="shared" si="14"/>
        <v>Medium</v>
      </c>
      <c r="T173" t="str">
        <f>_xlfn.XLOOKUP(Orders[[#This Row],[Customer ID]],customers!$A$1:$A$1001,customers!$I$1:$I$1001,,0)</f>
        <v>Yes</v>
      </c>
    </row>
    <row r="174" spans="1:20" x14ac:dyDescent="0.35">
      <c r="A174" s="2" t="s">
        <v>1459</v>
      </c>
      <c r="B174" s="3">
        <v>44545</v>
      </c>
      <c r="C174" s="2" t="s">
        <v>1460</v>
      </c>
      <c r="D174" t="s">
        <v>6144</v>
      </c>
      <c r="E174" t="str">
        <f t="shared" si="12"/>
        <v>Excelsa-Dark-0.5</v>
      </c>
      <c r="F174" s="2">
        <v>3</v>
      </c>
      <c r="G174" s="2" t="str" cm="1">
        <f t="array" ref="G174">_xlfn.XLOOKUP(C174, customers!$A$1:A1173,customers!$B$1:B1173,,0)</f>
        <v>Bartholemy Flaherty</v>
      </c>
      <c r="H174" s="2" t="str" cm="1">
        <f t="array" ref="H174">IF(_xlfn.XLOOKUP(C174,customers!$A$1:A1173,customers!$C$1:C1173,,0) = 0,"", _xlfn.XLOOKUP(C174,customers!$A$1:A1173,customers!$C$1:C1173,,0))</f>
        <v>bflaherty4s@moonfruit.com</v>
      </c>
      <c r="I174" s="2" t="str">
        <f>_xlfn.XLOOKUP(C174,customers!$A$1:$A$1001,customers!$G$1:$G$1001,,0)</f>
        <v>Ireland</v>
      </c>
      <c r="J174" s="2" t="str">
        <f>_xlfn.XLOOKUP(Orders[[#This Row],[Customer ID]],customers!$A$1:$A$1001,customers!$F$1:$F$1001,,0)</f>
        <v>Eadestown</v>
      </c>
      <c r="K174" t="str">
        <f>INDEX(products!$A$1:$G$49,MATCH(orders!$D174,products!$A$1:$A$49,0),MATCH(orders!K$1,products!$A$1:$G$1,0))</f>
        <v>Exc</v>
      </c>
      <c r="L174" t="str">
        <f>INDEX(products!$A$1:$G$49,MATCH(orders!$D174,products!$A$1:$A$49,0),MATCH(orders!L$1,products!$A$1:$G$1,0))</f>
        <v>D</v>
      </c>
      <c r="M174" s="14">
        <f>INDEX(products!$A$1:$G$49,MATCH(orders!$D174,products!$A$1:$A$49,0),MATCH(orders!M$1,products!$A$1:$G$1,0))</f>
        <v>0.5</v>
      </c>
      <c r="N174" s="4">
        <f>INDEX(products!$A$1:$G$49,MATCH(orders!$D174,products!$A$1:$A$49,0),MATCH(orders!N$1,products!$A$1:$G$1,0))</f>
        <v>7.29</v>
      </c>
      <c r="O174" s="13">
        <f t="shared" si="10"/>
        <v>21.87</v>
      </c>
      <c r="P174" s="13">
        <f>_xlfn.XLOOKUP(Orders[[#This Row],[Product ID]],products!$A$1:$A$49,products!$G$1:$G$49,,0)</f>
        <v>0.80190000000000006</v>
      </c>
      <c r="Q174" s="13">
        <f t="shared" si="11"/>
        <v>2.4057000000000004</v>
      </c>
      <c r="R174" t="str">
        <f t="shared" si="13"/>
        <v>Execelsa</v>
      </c>
      <c r="S174" t="str">
        <f t="shared" si="14"/>
        <v>Dark</v>
      </c>
      <c r="T174" t="str">
        <f>_xlfn.XLOOKUP(Orders[[#This Row],[Customer ID]],customers!$A$1:$A$1001,customers!$I$1:$I$1001,,0)</f>
        <v>No</v>
      </c>
    </row>
    <row r="175" spans="1:20" x14ac:dyDescent="0.35">
      <c r="A175" s="2" t="s">
        <v>1464</v>
      </c>
      <c r="B175" s="3">
        <v>44720</v>
      </c>
      <c r="C175" s="2" t="s">
        <v>1465</v>
      </c>
      <c r="D175" t="s">
        <v>6151</v>
      </c>
      <c r="E175" t="str">
        <f t="shared" si="12"/>
        <v>Robusta-Medium-2.5</v>
      </c>
      <c r="F175" s="2">
        <v>4</v>
      </c>
      <c r="G175" s="2" t="str" cm="1">
        <f t="array" ref="G175">_xlfn.XLOOKUP(C175, customers!$A$1:A1174,customers!$B$1:B1174,,0)</f>
        <v>Oran Colbeck</v>
      </c>
      <c r="H175" s="2" t="str" cm="1">
        <f t="array" ref="H175">IF(_xlfn.XLOOKUP(C175,customers!$A$1:A1174,customers!$C$1:C1174,,0) = 0,"", _xlfn.XLOOKUP(C175,customers!$A$1:A1174,customers!$C$1:C1174,,0))</f>
        <v>ocolbeck4t@sina.com.cn</v>
      </c>
      <c r="I175" s="2" t="str">
        <f>_xlfn.XLOOKUP(C175,customers!$A$1:$A$1001,customers!$G$1:$G$1001,,0)</f>
        <v>United States</v>
      </c>
      <c r="J175" s="2" t="str">
        <f>_xlfn.XLOOKUP(Orders[[#This Row],[Customer ID]],customers!$A$1:$A$1001,customers!$F$1:$F$1001,,0)</f>
        <v>Montgomery</v>
      </c>
      <c r="K175" t="str">
        <f>INDEX(products!$A$1:$G$49,MATCH(orders!$D175,products!$A$1:$A$49,0),MATCH(orders!K$1,products!$A$1:$G$1,0))</f>
        <v>Rob</v>
      </c>
      <c r="L175" t="str">
        <f>INDEX(products!$A$1:$G$49,MATCH(orders!$D175,products!$A$1:$A$49,0),MATCH(orders!L$1,products!$A$1:$G$1,0))</f>
        <v>M</v>
      </c>
      <c r="M175" s="14">
        <f>INDEX(products!$A$1:$G$49,MATCH(orders!$D175,products!$A$1:$A$49,0),MATCH(orders!M$1,products!$A$1:$G$1,0))</f>
        <v>2.5</v>
      </c>
      <c r="N175" s="4">
        <f>INDEX(products!$A$1:$G$49,MATCH(orders!$D175,products!$A$1:$A$49,0),MATCH(orders!N$1,products!$A$1:$G$1,0))</f>
        <v>22.884999999999998</v>
      </c>
      <c r="O175" s="13">
        <f t="shared" si="10"/>
        <v>91.539999999999992</v>
      </c>
      <c r="P175" s="13">
        <f>_xlfn.XLOOKUP(Orders[[#This Row],[Product ID]],products!$A$1:$A$49,products!$G$1:$G$49,,0)</f>
        <v>1.3730999999999998</v>
      </c>
      <c r="Q175" s="13">
        <f t="shared" si="11"/>
        <v>5.4923999999999991</v>
      </c>
      <c r="R175" t="str">
        <f t="shared" si="13"/>
        <v>Robusta</v>
      </c>
      <c r="S175" t="str">
        <f t="shared" si="14"/>
        <v>Medium</v>
      </c>
      <c r="T175" t="str">
        <f>_xlfn.XLOOKUP(Orders[[#This Row],[Customer ID]],customers!$A$1:$A$1001,customers!$I$1:$I$1001,,0)</f>
        <v>No</v>
      </c>
    </row>
    <row r="176" spans="1:20" x14ac:dyDescent="0.35">
      <c r="A176" s="2" t="s">
        <v>1470</v>
      </c>
      <c r="B176" s="3">
        <v>43813</v>
      </c>
      <c r="C176" s="2" t="s">
        <v>1471</v>
      </c>
      <c r="D176" t="s">
        <v>6148</v>
      </c>
      <c r="E176" t="str">
        <f t="shared" si="12"/>
        <v>Excelsa-Light-2.5</v>
      </c>
      <c r="F176" s="2">
        <v>6</v>
      </c>
      <c r="G176" s="2" t="str" cm="1">
        <f t="array" ref="G176">_xlfn.XLOOKUP(C176, customers!$A$1:A1175,customers!$B$1:B1175,,0)</f>
        <v>Elysee Sketch</v>
      </c>
      <c r="H176" s="2" t="str" cm="1">
        <f t="array" ref="H176">IF(_xlfn.XLOOKUP(C176,customers!$A$1:A1175,customers!$C$1:C1175,,0) = 0,"", _xlfn.XLOOKUP(C176,customers!$A$1:A1175,customers!$C$1:C1175,,0))</f>
        <v/>
      </c>
      <c r="I176" s="2" t="str">
        <f>_xlfn.XLOOKUP(C176,customers!$A$1:$A$1001,customers!$G$1:$G$1001,,0)</f>
        <v>United States</v>
      </c>
      <c r="J176" s="2" t="str">
        <f>_xlfn.XLOOKUP(Orders[[#This Row],[Customer ID]],customers!$A$1:$A$1001,customers!$F$1:$F$1001,,0)</f>
        <v>Sparks</v>
      </c>
      <c r="K176" t="str">
        <f>INDEX(products!$A$1:$G$49,MATCH(orders!$D176,products!$A$1:$A$49,0),MATCH(orders!K$1,products!$A$1:$G$1,0))</f>
        <v>Exc</v>
      </c>
      <c r="L176" t="str">
        <f>INDEX(products!$A$1:$G$49,MATCH(orders!$D176,products!$A$1:$A$49,0),MATCH(orders!L$1,products!$A$1:$G$1,0))</f>
        <v>L</v>
      </c>
      <c r="M176" s="14">
        <f>INDEX(products!$A$1:$G$49,MATCH(orders!$D176,products!$A$1:$A$49,0),MATCH(orders!M$1,products!$A$1:$G$1,0))</f>
        <v>2.5</v>
      </c>
      <c r="N176" s="4">
        <f>INDEX(products!$A$1:$G$49,MATCH(orders!$D176,products!$A$1:$A$49,0),MATCH(orders!N$1,products!$A$1:$G$1,0))</f>
        <v>34.154999999999994</v>
      </c>
      <c r="O176" s="13">
        <f t="shared" si="10"/>
        <v>204.92999999999995</v>
      </c>
      <c r="P176" s="13">
        <f>_xlfn.XLOOKUP(Orders[[#This Row],[Product ID]],products!$A$1:$A$49,products!$G$1:$G$49,,0)</f>
        <v>3.7570499999999996</v>
      </c>
      <c r="Q176" s="13">
        <f t="shared" si="11"/>
        <v>22.542299999999997</v>
      </c>
      <c r="R176" t="str">
        <f t="shared" si="13"/>
        <v>Execelsa</v>
      </c>
      <c r="S176" t="str">
        <f t="shared" si="14"/>
        <v>Light</v>
      </c>
      <c r="T176" t="str">
        <f>_xlfn.XLOOKUP(Orders[[#This Row],[Customer ID]],customers!$A$1:$A$1001,customers!$I$1:$I$1001,,0)</f>
        <v>Yes</v>
      </c>
    </row>
    <row r="177" spans="1:20" x14ac:dyDescent="0.35">
      <c r="A177" s="2" t="s">
        <v>1475</v>
      </c>
      <c r="B177" s="3">
        <v>44296</v>
      </c>
      <c r="C177" s="2" t="s">
        <v>1476</v>
      </c>
      <c r="D177" t="s">
        <v>6166</v>
      </c>
      <c r="E177" t="str">
        <f t="shared" si="12"/>
        <v>Excelsa-Medium-2.5</v>
      </c>
      <c r="F177" s="2">
        <v>2</v>
      </c>
      <c r="G177" s="2" t="str" cm="1">
        <f t="array" ref="G177">_xlfn.XLOOKUP(C177, customers!$A$1:A1176,customers!$B$1:B1176,,0)</f>
        <v>Ethelda Hobbing</v>
      </c>
      <c r="H177" s="2" t="str" cm="1">
        <f t="array" ref="H177">IF(_xlfn.XLOOKUP(C177,customers!$A$1:A1176,customers!$C$1:C1176,,0) = 0,"", _xlfn.XLOOKUP(C177,customers!$A$1:A1176,customers!$C$1:C1176,,0))</f>
        <v>ehobbing4v@nsw.gov.au</v>
      </c>
      <c r="I177" s="2" t="str">
        <f>_xlfn.XLOOKUP(C177,customers!$A$1:$A$1001,customers!$G$1:$G$1001,,0)</f>
        <v>United States</v>
      </c>
      <c r="J177" s="2" t="str">
        <f>_xlfn.XLOOKUP(Orders[[#This Row],[Customer ID]],customers!$A$1:$A$1001,customers!$F$1:$F$1001,,0)</f>
        <v>Macon</v>
      </c>
      <c r="K177" t="str">
        <f>INDEX(products!$A$1:$G$49,MATCH(orders!$D177,products!$A$1:$A$49,0),MATCH(orders!K$1,products!$A$1:$G$1,0))</f>
        <v>Exc</v>
      </c>
      <c r="L177" t="str">
        <f>INDEX(products!$A$1:$G$49,MATCH(orders!$D177,products!$A$1:$A$49,0),MATCH(orders!L$1,products!$A$1:$G$1,0))</f>
        <v>M</v>
      </c>
      <c r="M177" s="14">
        <f>INDEX(products!$A$1:$G$49,MATCH(orders!$D177,products!$A$1:$A$49,0),MATCH(orders!M$1,products!$A$1:$G$1,0))</f>
        <v>2.5</v>
      </c>
      <c r="N177" s="4">
        <f>INDEX(products!$A$1:$G$49,MATCH(orders!$D177,products!$A$1:$A$49,0),MATCH(orders!N$1,products!$A$1:$G$1,0))</f>
        <v>31.624999999999996</v>
      </c>
      <c r="O177" s="13">
        <f t="shared" si="10"/>
        <v>63.249999999999993</v>
      </c>
      <c r="P177" s="13">
        <f>_xlfn.XLOOKUP(Orders[[#This Row],[Product ID]],products!$A$1:$A$49,products!$G$1:$G$49,,0)</f>
        <v>3.4787499999999998</v>
      </c>
      <c r="Q177" s="13">
        <f t="shared" si="11"/>
        <v>6.9574999999999996</v>
      </c>
      <c r="R177" t="str">
        <f t="shared" si="13"/>
        <v>Execelsa</v>
      </c>
      <c r="S177" t="str">
        <f t="shared" si="14"/>
        <v>Medium</v>
      </c>
      <c r="T177" t="str">
        <f>_xlfn.XLOOKUP(Orders[[#This Row],[Customer ID]],customers!$A$1:$A$1001,customers!$I$1:$I$1001,,0)</f>
        <v>Yes</v>
      </c>
    </row>
    <row r="178" spans="1:20" x14ac:dyDescent="0.35">
      <c r="A178" s="2" t="s">
        <v>1481</v>
      </c>
      <c r="B178" s="3">
        <v>43900</v>
      </c>
      <c r="C178" s="2" t="s">
        <v>1482</v>
      </c>
      <c r="D178" t="s">
        <v>6148</v>
      </c>
      <c r="E178" t="str">
        <f t="shared" si="12"/>
        <v>Excelsa-Light-2.5</v>
      </c>
      <c r="F178" s="2">
        <v>1</v>
      </c>
      <c r="G178" s="2" t="str" cm="1">
        <f t="array" ref="G178">_xlfn.XLOOKUP(C178, customers!$A$1:A1177,customers!$B$1:B1177,,0)</f>
        <v>Odille Thynne</v>
      </c>
      <c r="H178" s="2" t="str" cm="1">
        <f t="array" ref="H178">IF(_xlfn.XLOOKUP(C178,customers!$A$1:A1177,customers!$C$1:C1177,,0) = 0,"", _xlfn.XLOOKUP(C178,customers!$A$1:A1177,customers!$C$1:C1177,,0))</f>
        <v>othynne4w@auda.org.au</v>
      </c>
      <c r="I178" s="2" t="str">
        <f>_xlfn.XLOOKUP(C178,customers!$A$1:$A$1001,customers!$G$1:$G$1001,,0)</f>
        <v>United States</v>
      </c>
      <c r="J178" s="2" t="str">
        <f>_xlfn.XLOOKUP(Orders[[#This Row],[Customer ID]],customers!$A$1:$A$1001,customers!$F$1:$F$1001,,0)</f>
        <v>Whittier</v>
      </c>
      <c r="K178" t="str">
        <f>INDEX(products!$A$1:$G$49,MATCH(orders!$D178,products!$A$1:$A$49,0),MATCH(orders!K$1,products!$A$1:$G$1,0))</f>
        <v>Exc</v>
      </c>
      <c r="L178" t="str">
        <f>INDEX(products!$A$1:$G$49,MATCH(orders!$D178,products!$A$1:$A$49,0),MATCH(orders!L$1,products!$A$1:$G$1,0))</f>
        <v>L</v>
      </c>
      <c r="M178" s="14">
        <f>INDEX(products!$A$1:$G$49,MATCH(orders!$D178,products!$A$1:$A$49,0),MATCH(orders!M$1,products!$A$1:$G$1,0))</f>
        <v>2.5</v>
      </c>
      <c r="N178" s="4">
        <f>INDEX(products!$A$1:$G$49,MATCH(orders!$D178,products!$A$1:$A$49,0),MATCH(orders!N$1,products!$A$1:$G$1,0))</f>
        <v>34.154999999999994</v>
      </c>
      <c r="O178" s="13">
        <f t="shared" si="10"/>
        <v>34.154999999999994</v>
      </c>
      <c r="P178" s="13">
        <f>_xlfn.XLOOKUP(Orders[[#This Row],[Product ID]],products!$A$1:$A$49,products!$G$1:$G$49,,0)</f>
        <v>3.7570499999999996</v>
      </c>
      <c r="Q178" s="13">
        <f t="shared" si="11"/>
        <v>3.7570499999999996</v>
      </c>
      <c r="R178" t="str">
        <f t="shared" si="13"/>
        <v>Execelsa</v>
      </c>
      <c r="S178" t="str">
        <f t="shared" si="14"/>
        <v>Light</v>
      </c>
      <c r="T178" t="str">
        <f>_xlfn.XLOOKUP(Orders[[#This Row],[Customer ID]],customers!$A$1:$A$1001,customers!$I$1:$I$1001,,0)</f>
        <v>Yes</v>
      </c>
    </row>
    <row r="179" spans="1:20" x14ac:dyDescent="0.35">
      <c r="A179" s="2" t="s">
        <v>1487</v>
      </c>
      <c r="B179" s="3">
        <v>44120</v>
      </c>
      <c r="C179" s="2" t="s">
        <v>1488</v>
      </c>
      <c r="D179" t="s">
        <v>6142</v>
      </c>
      <c r="E179" t="str">
        <f t="shared" si="12"/>
        <v>Robusta-Light-2.5</v>
      </c>
      <c r="F179" s="2">
        <v>4</v>
      </c>
      <c r="G179" s="2" t="str" cm="1">
        <f t="array" ref="G179">_xlfn.XLOOKUP(C179, customers!$A$1:A1178,customers!$B$1:B1178,,0)</f>
        <v>Emlynne Heining</v>
      </c>
      <c r="H179" s="2" t="str" cm="1">
        <f t="array" ref="H179">IF(_xlfn.XLOOKUP(C179,customers!$A$1:A1178,customers!$C$1:C1178,,0) = 0,"", _xlfn.XLOOKUP(C179,customers!$A$1:A1178,customers!$C$1:C1178,,0))</f>
        <v>eheining4x@flickr.com</v>
      </c>
      <c r="I179" s="2" t="str">
        <f>_xlfn.XLOOKUP(C179,customers!$A$1:$A$1001,customers!$G$1:$G$1001,,0)</f>
        <v>United States</v>
      </c>
      <c r="J179" s="2" t="str">
        <f>_xlfn.XLOOKUP(Orders[[#This Row],[Customer ID]],customers!$A$1:$A$1001,customers!$F$1:$F$1001,,0)</f>
        <v>Johnson City</v>
      </c>
      <c r="K179" t="str">
        <f>INDEX(products!$A$1:$G$49,MATCH(orders!$D179,products!$A$1:$A$49,0),MATCH(orders!K$1,products!$A$1:$G$1,0))</f>
        <v>Rob</v>
      </c>
      <c r="L179" t="str">
        <f>INDEX(products!$A$1:$G$49,MATCH(orders!$D179,products!$A$1:$A$49,0),MATCH(orders!L$1,products!$A$1:$G$1,0))</f>
        <v>L</v>
      </c>
      <c r="M179" s="14">
        <f>INDEX(products!$A$1:$G$49,MATCH(orders!$D179,products!$A$1:$A$49,0),MATCH(orders!M$1,products!$A$1:$G$1,0))</f>
        <v>2.5</v>
      </c>
      <c r="N179" s="4">
        <f>INDEX(products!$A$1:$G$49,MATCH(orders!$D179,products!$A$1:$A$49,0),MATCH(orders!N$1,products!$A$1:$G$1,0))</f>
        <v>27.484999999999996</v>
      </c>
      <c r="O179" s="13">
        <f t="shared" si="10"/>
        <v>109.93999999999998</v>
      </c>
      <c r="P179" s="13">
        <f>_xlfn.XLOOKUP(Orders[[#This Row],[Product ID]],products!$A$1:$A$49,products!$G$1:$G$49,,0)</f>
        <v>1.6490999999999998</v>
      </c>
      <c r="Q179" s="13">
        <f t="shared" si="11"/>
        <v>6.5963999999999992</v>
      </c>
      <c r="R179" t="str">
        <f t="shared" si="13"/>
        <v>Robusta</v>
      </c>
      <c r="S179" t="str">
        <f t="shared" si="14"/>
        <v>Light</v>
      </c>
      <c r="T179" t="str">
        <f>_xlfn.XLOOKUP(Orders[[#This Row],[Customer ID]],customers!$A$1:$A$1001,customers!$I$1:$I$1001,,0)</f>
        <v>Yes</v>
      </c>
    </row>
    <row r="180" spans="1:20" x14ac:dyDescent="0.35">
      <c r="A180" s="2" t="s">
        <v>1492</v>
      </c>
      <c r="B180" s="3">
        <v>43746</v>
      </c>
      <c r="C180" s="2" t="s">
        <v>1493</v>
      </c>
      <c r="D180" t="s">
        <v>6140</v>
      </c>
      <c r="E180" t="str">
        <f t="shared" si="12"/>
        <v>Arabica-Light-1</v>
      </c>
      <c r="F180" s="2">
        <v>2</v>
      </c>
      <c r="G180" s="2" t="str" cm="1">
        <f t="array" ref="G180">_xlfn.XLOOKUP(C180, customers!$A$1:A1179,customers!$B$1:B1179,,0)</f>
        <v>Katerina Melloi</v>
      </c>
      <c r="H180" s="2" t="str" cm="1">
        <f t="array" ref="H180">IF(_xlfn.XLOOKUP(C180,customers!$A$1:A1179,customers!$C$1:C1179,,0) = 0,"", _xlfn.XLOOKUP(C180,customers!$A$1:A1179,customers!$C$1:C1179,,0))</f>
        <v>kmelloi4y@imdb.com</v>
      </c>
      <c r="I180" s="2" t="str">
        <f>_xlfn.XLOOKUP(C180,customers!$A$1:$A$1001,customers!$G$1:$G$1001,,0)</f>
        <v>United States</v>
      </c>
      <c r="J180" s="2" t="str">
        <f>_xlfn.XLOOKUP(Orders[[#This Row],[Customer ID]],customers!$A$1:$A$1001,customers!$F$1:$F$1001,,0)</f>
        <v>Rochester</v>
      </c>
      <c r="K180" t="str">
        <f>INDEX(products!$A$1:$G$49,MATCH(orders!$D180,products!$A$1:$A$49,0),MATCH(orders!K$1,products!$A$1:$G$1,0))</f>
        <v>Ara</v>
      </c>
      <c r="L180" t="str">
        <f>INDEX(products!$A$1:$G$49,MATCH(orders!$D180,products!$A$1:$A$49,0),MATCH(orders!L$1,products!$A$1:$G$1,0))</f>
        <v>L</v>
      </c>
      <c r="M180" s="14">
        <f>INDEX(products!$A$1:$G$49,MATCH(orders!$D180,products!$A$1:$A$49,0),MATCH(orders!M$1,products!$A$1:$G$1,0))</f>
        <v>1</v>
      </c>
      <c r="N180" s="4">
        <f>INDEX(products!$A$1:$G$49,MATCH(orders!$D180,products!$A$1:$A$49,0),MATCH(orders!N$1,products!$A$1:$G$1,0))</f>
        <v>12.95</v>
      </c>
      <c r="O180" s="13">
        <f t="shared" si="10"/>
        <v>25.9</v>
      </c>
      <c r="P180" s="13">
        <f>_xlfn.XLOOKUP(Orders[[#This Row],[Product ID]],products!$A$1:$A$49,products!$G$1:$G$49,,0)</f>
        <v>1.1655</v>
      </c>
      <c r="Q180" s="13">
        <f t="shared" si="11"/>
        <v>2.331</v>
      </c>
      <c r="R180" t="str">
        <f t="shared" si="13"/>
        <v>Arabica</v>
      </c>
      <c r="S180" t="str">
        <f t="shared" si="14"/>
        <v>Light</v>
      </c>
      <c r="T180" t="str">
        <f>_xlfn.XLOOKUP(Orders[[#This Row],[Customer ID]],customers!$A$1:$A$1001,customers!$I$1:$I$1001,,0)</f>
        <v>No</v>
      </c>
    </row>
    <row r="181" spans="1:20" x14ac:dyDescent="0.35">
      <c r="A181" s="2" t="s">
        <v>1498</v>
      </c>
      <c r="B181" s="3">
        <v>43830</v>
      </c>
      <c r="C181" s="2" t="s">
        <v>1499</v>
      </c>
      <c r="D181" t="s">
        <v>6154</v>
      </c>
      <c r="E181" t="str">
        <f t="shared" si="12"/>
        <v>Arabica-Dark-0.2</v>
      </c>
      <c r="F181" s="2">
        <v>1</v>
      </c>
      <c r="G181" s="2" t="str" cm="1">
        <f t="array" ref="G181">_xlfn.XLOOKUP(C181, customers!$A$1:A1180,customers!$B$1:B1180,,0)</f>
        <v>Tiffany Scardafield</v>
      </c>
      <c r="H181" s="2" t="str" cm="1">
        <f t="array" ref="H181">IF(_xlfn.XLOOKUP(C181,customers!$A$1:A1180,customers!$C$1:C1180,,0) = 0,"", _xlfn.XLOOKUP(C181,customers!$A$1:A1180,customers!$C$1:C1180,,0))</f>
        <v/>
      </c>
      <c r="I181" s="2" t="str">
        <f>_xlfn.XLOOKUP(C181,customers!$A$1:$A$1001,customers!$G$1:$G$1001,,0)</f>
        <v>Ireland</v>
      </c>
      <c r="J181" s="2" t="str">
        <f>_xlfn.XLOOKUP(Orders[[#This Row],[Customer ID]],customers!$A$1:$A$1001,customers!$F$1:$F$1001,,0)</f>
        <v>Portarlington</v>
      </c>
      <c r="K181" t="str">
        <f>INDEX(products!$A$1:$G$49,MATCH(orders!$D181,products!$A$1:$A$49,0),MATCH(orders!K$1,products!$A$1:$G$1,0))</f>
        <v>Ara</v>
      </c>
      <c r="L181" t="str">
        <f>INDEX(products!$A$1:$G$49,MATCH(orders!$D181,products!$A$1:$A$49,0),MATCH(orders!L$1,products!$A$1:$G$1,0))</f>
        <v>D</v>
      </c>
      <c r="M181" s="14">
        <f>INDEX(products!$A$1:$G$49,MATCH(orders!$D181,products!$A$1:$A$49,0),MATCH(orders!M$1,products!$A$1:$G$1,0))</f>
        <v>0.2</v>
      </c>
      <c r="N181" s="4">
        <f>INDEX(products!$A$1:$G$49,MATCH(orders!$D181,products!$A$1:$A$49,0),MATCH(orders!N$1,products!$A$1:$G$1,0))</f>
        <v>2.9849999999999999</v>
      </c>
      <c r="O181" s="13">
        <f t="shared" si="10"/>
        <v>2.9849999999999999</v>
      </c>
      <c r="P181" s="13">
        <f>_xlfn.XLOOKUP(Orders[[#This Row],[Product ID]],products!$A$1:$A$49,products!$G$1:$G$49,,0)</f>
        <v>0.26865</v>
      </c>
      <c r="Q181" s="13">
        <f t="shared" si="11"/>
        <v>0.26865</v>
      </c>
      <c r="R181" t="str">
        <f t="shared" si="13"/>
        <v>Arabica</v>
      </c>
      <c r="S181" t="str">
        <f t="shared" si="14"/>
        <v>Dark</v>
      </c>
      <c r="T181" t="str">
        <f>_xlfn.XLOOKUP(Orders[[#This Row],[Customer ID]],customers!$A$1:$A$1001,customers!$I$1:$I$1001,,0)</f>
        <v>No</v>
      </c>
    </row>
    <row r="182" spans="1:20" x14ac:dyDescent="0.35">
      <c r="A182" s="2" t="s">
        <v>1503</v>
      </c>
      <c r="B182" s="3">
        <v>43910</v>
      </c>
      <c r="C182" s="2" t="s">
        <v>1504</v>
      </c>
      <c r="D182" t="s">
        <v>6184</v>
      </c>
      <c r="E182" t="str">
        <f t="shared" si="12"/>
        <v>Excelsa-Light-0.2</v>
      </c>
      <c r="F182" s="2">
        <v>5</v>
      </c>
      <c r="G182" s="2" t="str" cm="1">
        <f t="array" ref="G182">_xlfn.XLOOKUP(C182, customers!$A$1:A1181,customers!$B$1:B1181,,0)</f>
        <v>Abrahan Mussen</v>
      </c>
      <c r="H182" s="2" t="str" cm="1">
        <f t="array" ref="H182">IF(_xlfn.XLOOKUP(C182,customers!$A$1:A1181,customers!$C$1:C1181,,0) = 0,"", _xlfn.XLOOKUP(C182,customers!$A$1:A1181,customers!$C$1:C1181,,0))</f>
        <v>amussen50@51.la</v>
      </c>
      <c r="I182" s="2" t="str">
        <f>_xlfn.XLOOKUP(C182,customers!$A$1:$A$1001,customers!$G$1:$G$1001,,0)</f>
        <v>United States</v>
      </c>
      <c r="J182" s="2" t="str">
        <f>_xlfn.XLOOKUP(Orders[[#This Row],[Customer ID]],customers!$A$1:$A$1001,customers!$F$1:$F$1001,,0)</f>
        <v>Brooklyn</v>
      </c>
      <c r="K182" t="str">
        <f>INDEX(products!$A$1:$G$49,MATCH(orders!$D182,products!$A$1:$A$49,0),MATCH(orders!K$1,products!$A$1:$G$1,0))</f>
        <v>Exc</v>
      </c>
      <c r="L182" t="str">
        <f>INDEX(products!$A$1:$G$49,MATCH(orders!$D182,products!$A$1:$A$49,0),MATCH(orders!L$1,products!$A$1:$G$1,0))</f>
        <v>L</v>
      </c>
      <c r="M182" s="14">
        <f>INDEX(products!$A$1:$G$49,MATCH(orders!$D182,products!$A$1:$A$49,0),MATCH(orders!M$1,products!$A$1:$G$1,0))</f>
        <v>0.2</v>
      </c>
      <c r="N182" s="4">
        <f>INDEX(products!$A$1:$G$49,MATCH(orders!$D182,products!$A$1:$A$49,0),MATCH(orders!N$1,products!$A$1:$G$1,0))</f>
        <v>4.4550000000000001</v>
      </c>
      <c r="O182" s="13">
        <f t="shared" si="10"/>
        <v>22.274999999999999</v>
      </c>
      <c r="P182" s="13">
        <f>_xlfn.XLOOKUP(Orders[[#This Row],[Product ID]],products!$A$1:$A$49,products!$G$1:$G$49,,0)</f>
        <v>0.49004999999999999</v>
      </c>
      <c r="Q182" s="13">
        <f t="shared" si="11"/>
        <v>2.45025</v>
      </c>
      <c r="R182" t="str">
        <f t="shared" si="13"/>
        <v>Execelsa</v>
      </c>
      <c r="S182" t="str">
        <f t="shared" si="14"/>
        <v>Light</v>
      </c>
      <c r="T182" t="str">
        <f>_xlfn.XLOOKUP(Orders[[#This Row],[Customer ID]],customers!$A$1:$A$1001,customers!$I$1:$I$1001,,0)</f>
        <v>No</v>
      </c>
    </row>
    <row r="183" spans="1:20" x14ac:dyDescent="0.35">
      <c r="A183" s="2" t="s">
        <v>1503</v>
      </c>
      <c r="B183" s="3">
        <v>43910</v>
      </c>
      <c r="C183" s="2" t="s">
        <v>1504</v>
      </c>
      <c r="D183" t="s">
        <v>6158</v>
      </c>
      <c r="E183" t="str">
        <f t="shared" si="12"/>
        <v>Arabica-Dark-0.5</v>
      </c>
      <c r="F183" s="2">
        <v>5</v>
      </c>
      <c r="G183" s="2" t="str" cm="1">
        <f t="array" ref="G183">_xlfn.XLOOKUP(C183, customers!$A$1:A1182,customers!$B$1:B1182,,0)</f>
        <v>Abrahan Mussen</v>
      </c>
      <c r="H183" s="2" t="str" cm="1">
        <f t="array" ref="H183">IF(_xlfn.XLOOKUP(C183,customers!$A$1:A1182,customers!$C$1:C1182,,0) = 0,"", _xlfn.XLOOKUP(C183,customers!$A$1:A1182,customers!$C$1:C1182,,0))</f>
        <v>amussen50@51.la</v>
      </c>
      <c r="I183" s="2" t="str">
        <f>_xlfn.XLOOKUP(C183,customers!$A$1:$A$1001,customers!$G$1:$G$1001,,0)</f>
        <v>United States</v>
      </c>
      <c r="J183" s="2" t="str">
        <f>_xlfn.XLOOKUP(Orders[[#This Row],[Customer ID]],customers!$A$1:$A$1001,customers!$F$1:$F$1001,,0)</f>
        <v>Brooklyn</v>
      </c>
      <c r="K183" t="str">
        <f>INDEX(products!$A$1:$G$49,MATCH(orders!$D183,products!$A$1:$A$49,0),MATCH(orders!K$1,products!$A$1:$G$1,0))</f>
        <v>Ara</v>
      </c>
      <c r="L183" t="str">
        <f>INDEX(products!$A$1:$G$49,MATCH(orders!$D183,products!$A$1:$A$49,0),MATCH(orders!L$1,products!$A$1:$G$1,0))</f>
        <v>D</v>
      </c>
      <c r="M183" s="14">
        <f>INDEX(products!$A$1:$G$49,MATCH(orders!$D183,products!$A$1:$A$49,0),MATCH(orders!M$1,products!$A$1:$G$1,0))</f>
        <v>0.5</v>
      </c>
      <c r="N183" s="4">
        <f>INDEX(products!$A$1:$G$49,MATCH(orders!$D183,products!$A$1:$A$49,0),MATCH(orders!N$1,products!$A$1:$G$1,0))</f>
        <v>5.97</v>
      </c>
      <c r="O183" s="13">
        <f t="shared" si="10"/>
        <v>29.849999999999998</v>
      </c>
      <c r="P183" s="13">
        <f>_xlfn.XLOOKUP(Orders[[#This Row],[Product ID]],products!$A$1:$A$49,products!$G$1:$G$49,,0)</f>
        <v>0.5373</v>
      </c>
      <c r="Q183" s="13">
        <f t="shared" si="11"/>
        <v>2.6865000000000001</v>
      </c>
      <c r="R183" t="str">
        <f t="shared" si="13"/>
        <v>Arabica</v>
      </c>
      <c r="S183" t="str">
        <f t="shared" si="14"/>
        <v>Dark</v>
      </c>
      <c r="T183" t="str">
        <f>_xlfn.XLOOKUP(Orders[[#This Row],[Customer ID]],customers!$A$1:$A$1001,customers!$I$1:$I$1001,,0)</f>
        <v>No</v>
      </c>
    </row>
    <row r="184" spans="1:20" x14ac:dyDescent="0.35">
      <c r="A184" s="2" t="s">
        <v>1514</v>
      </c>
      <c r="B184" s="3">
        <v>44284</v>
      </c>
      <c r="C184" s="2" t="s">
        <v>1515</v>
      </c>
      <c r="D184" t="s">
        <v>6172</v>
      </c>
      <c r="E184" t="str">
        <f t="shared" si="12"/>
        <v>Robusta-Dark-0.5</v>
      </c>
      <c r="F184" s="2">
        <v>6</v>
      </c>
      <c r="G184" s="2" t="str" cm="1">
        <f t="array" ref="G184">_xlfn.XLOOKUP(C184, customers!$A$1:A1183,customers!$B$1:B1183,,0)</f>
        <v>Anny Mundford</v>
      </c>
      <c r="H184" s="2" t="str" cm="1">
        <f t="array" ref="H184">IF(_xlfn.XLOOKUP(C184,customers!$A$1:A1183,customers!$C$1:C1183,,0) = 0,"", _xlfn.XLOOKUP(C184,customers!$A$1:A1183,customers!$C$1:C1183,,0))</f>
        <v>amundford52@nbcnews.com</v>
      </c>
      <c r="I184" s="2" t="str">
        <f>_xlfn.XLOOKUP(C184,customers!$A$1:$A$1001,customers!$G$1:$G$1001,,0)</f>
        <v>United States</v>
      </c>
      <c r="J184" s="2" t="str">
        <f>_xlfn.XLOOKUP(Orders[[#This Row],[Customer ID]],customers!$A$1:$A$1001,customers!$F$1:$F$1001,,0)</f>
        <v>Charlottesville</v>
      </c>
      <c r="K184" t="str">
        <f>INDEX(products!$A$1:$G$49,MATCH(orders!$D184,products!$A$1:$A$49,0),MATCH(orders!K$1,products!$A$1:$G$1,0))</f>
        <v>Rob</v>
      </c>
      <c r="L184" t="str">
        <f>INDEX(products!$A$1:$G$49,MATCH(orders!$D184,products!$A$1:$A$49,0),MATCH(orders!L$1,products!$A$1:$G$1,0))</f>
        <v>D</v>
      </c>
      <c r="M184" s="14">
        <f>INDEX(products!$A$1:$G$49,MATCH(orders!$D184,products!$A$1:$A$49,0),MATCH(orders!M$1,products!$A$1:$G$1,0))</f>
        <v>0.5</v>
      </c>
      <c r="N184" s="4">
        <f>INDEX(products!$A$1:$G$49,MATCH(orders!$D184,products!$A$1:$A$49,0),MATCH(orders!N$1,products!$A$1:$G$1,0))</f>
        <v>5.3699999999999992</v>
      </c>
      <c r="O184" s="13">
        <f t="shared" si="10"/>
        <v>32.22</v>
      </c>
      <c r="P184" s="13">
        <f>_xlfn.XLOOKUP(Orders[[#This Row],[Product ID]],products!$A$1:$A$49,products!$G$1:$G$49,,0)</f>
        <v>0.32219999999999993</v>
      </c>
      <c r="Q184" s="13">
        <f t="shared" si="11"/>
        <v>1.9331999999999996</v>
      </c>
      <c r="R184" t="str">
        <f t="shared" si="13"/>
        <v>Robusta</v>
      </c>
      <c r="S184" t="str">
        <f t="shared" si="14"/>
        <v>Dark</v>
      </c>
      <c r="T184" t="str">
        <f>_xlfn.XLOOKUP(Orders[[#This Row],[Customer ID]],customers!$A$1:$A$1001,customers!$I$1:$I$1001,,0)</f>
        <v>No</v>
      </c>
    </row>
    <row r="185" spans="1:20" x14ac:dyDescent="0.35">
      <c r="A185" s="2" t="s">
        <v>1520</v>
      </c>
      <c r="B185" s="3">
        <v>44512</v>
      </c>
      <c r="C185" s="2" t="s">
        <v>1521</v>
      </c>
      <c r="D185" t="s">
        <v>6156</v>
      </c>
      <c r="E185" t="str">
        <f t="shared" si="12"/>
        <v>Excelsa-Medium-0.2</v>
      </c>
      <c r="F185" s="2">
        <v>2</v>
      </c>
      <c r="G185" s="2" t="str" cm="1">
        <f t="array" ref="G185">_xlfn.XLOOKUP(C185, customers!$A$1:A1184,customers!$B$1:B1184,,0)</f>
        <v>Tory Walas</v>
      </c>
      <c r="H185" s="2" t="str" cm="1">
        <f t="array" ref="H185">IF(_xlfn.XLOOKUP(C185,customers!$A$1:A1184,customers!$C$1:C1184,,0) = 0,"", _xlfn.XLOOKUP(C185,customers!$A$1:A1184,customers!$C$1:C1184,,0))</f>
        <v>twalas53@google.ca</v>
      </c>
      <c r="I185" s="2" t="str">
        <f>_xlfn.XLOOKUP(C185,customers!$A$1:$A$1001,customers!$G$1:$G$1001,,0)</f>
        <v>United States</v>
      </c>
      <c r="J185" s="2" t="str">
        <f>_xlfn.XLOOKUP(Orders[[#This Row],[Customer ID]],customers!$A$1:$A$1001,customers!$F$1:$F$1001,,0)</f>
        <v>Garland</v>
      </c>
      <c r="K185" t="str">
        <f>INDEX(products!$A$1:$G$49,MATCH(orders!$D185,products!$A$1:$A$49,0),MATCH(orders!K$1,products!$A$1:$G$1,0))</f>
        <v>Exc</v>
      </c>
      <c r="L185" t="str">
        <f>INDEX(products!$A$1:$G$49,MATCH(orders!$D185,products!$A$1:$A$49,0),MATCH(orders!L$1,products!$A$1:$G$1,0))</f>
        <v>M</v>
      </c>
      <c r="M185" s="14">
        <f>INDEX(products!$A$1:$G$49,MATCH(orders!$D185,products!$A$1:$A$49,0),MATCH(orders!M$1,products!$A$1:$G$1,0))</f>
        <v>0.2</v>
      </c>
      <c r="N185" s="4">
        <f>INDEX(products!$A$1:$G$49,MATCH(orders!$D185,products!$A$1:$A$49,0),MATCH(orders!N$1,products!$A$1:$G$1,0))</f>
        <v>4.125</v>
      </c>
      <c r="O185" s="13">
        <f t="shared" si="10"/>
        <v>8.25</v>
      </c>
      <c r="P185" s="13">
        <f>_xlfn.XLOOKUP(Orders[[#This Row],[Product ID]],products!$A$1:$A$49,products!$G$1:$G$49,,0)</f>
        <v>0.45374999999999999</v>
      </c>
      <c r="Q185" s="13">
        <f t="shared" si="11"/>
        <v>0.90749999999999997</v>
      </c>
      <c r="R185" t="str">
        <f t="shared" si="13"/>
        <v>Execelsa</v>
      </c>
      <c r="S185" t="str">
        <f t="shared" si="14"/>
        <v>Medium</v>
      </c>
      <c r="T185" t="str">
        <f>_xlfn.XLOOKUP(Orders[[#This Row],[Customer ID]],customers!$A$1:$A$1001,customers!$I$1:$I$1001,,0)</f>
        <v>No</v>
      </c>
    </row>
    <row r="186" spans="1:20" x14ac:dyDescent="0.35">
      <c r="A186" s="2" t="s">
        <v>1526</v>
      </c>
      <c r="B186" s="3">
        <v>44397</v>
      </c>
      <c r="C186" s="2" t="s">
        <v>1527</v>
      </c>
      <c r="D186" t="s">
        <v>6180</v>
      </c>
      <c r="E186" t="str">
        <f t="shared" si="12"/>
        <v>Arabica-Light-0.5</v>
      </c>
      <c r="F186" s="2">
        <v>4</v>
      </c>
      <c r="G186" s="2" t="str" cm="1">
        <f t="array" ref="G186">_xlfn.XLOOKUP(C186, customers!$A$1:A1185,customers!$B$1:B1185,,0)</f>
        <v>Isa Blazewicz</v>
      </c>
      <c r="H186" s="2" t="str" cm="1">
        <f t="array" ref="H186">IF(_xlfn.XLOOKUP(C186,customers!$A$1:A1185,customers!$C$1:C1185,,0) = 0,"", _xlfn.XLOOKUP(C186,customers!$A$1:A1185,customers!$C$1:C1185,,0))</f>
        <v>iblazewicz54@thetimes.co.uk</v>
      </c>
      <c r="I186" s="2" t="str">
        <f>_xlfn.XLOOKUP(C186,customers!$A$1:$A$1001,customers!$G$1:$G$1001,,0)</f>
        <v>United States</v>
      </c>
      <c r="J186" s="2" t="str">
        <f>_xlfn.XLOOKUP(Orders[[#This Row],[Customer ID]],customers!$A$1:$A$1001,customers!$F$1:$F$1001,,0)</f>
        <v>Minneapolis</v>
      </c>
      <c r="K186" t="str">
        <f>INDEX(products!$A$1:$G$49,MATCH(orders!$D186,products!$A$1:$A$49,0),MATCH(orders!K$1,products!$A$1:$G$1,0))</f>
        <v>Ara</v>
      </c>
      <c r="L186" t="str">
        <f>INDEX(products!$A$1:$G$49,MATCH(orders!$D186,products!$A$1:$A$49,0),MATCH(orders!L$1,products!$A$1:$G$1,0))</f>
        <v>L</v>
      </c>
      <c r="M186" s="14">
        <f>INDEX(products!$A$1:$G$49,MATCH(orders!$D186,products!$A$1:$A$49,0),MATCH(orders!M$1,products!$A$1:$G$1,0))</f>
        <v>0.5</v>
      </c>
      <c r="N186" s="4">
        <f>INDEX(products!$A$1:$G$49,MATCH(orders!$D186,products!$A$1:$A$49,0),MATCH(orders!N$1,products!$A$1:$G$1,0))</f>
        <v>7.77</v>
      </c>
      <c r="O186" s="13">
        <f t="shared" si="10"/>
        <v>31.08</v>
      </c>
      <c r="P186" s="13">
        <f>_xlfn.XLOOKUP(Orders[[#This Row],[Product ID]],products!$A$1:$A$49,products!$G$1:$G$49,,0)</f>
        <v>0.69929999999999992</v>
      </c>
      <c r="Q186" s="13">
        <f t="shared" si="11"/>
        <v>2.7971999999999997</v>
      </c>
      <c r="R186" t="str">
        <f t="shared" si="13"/>
        <v>Arabica</v>
      </c>
      <c r="S186" t="str">
        <f t="shared" si="14"/>
        <v>Light</v>
      </c>
      <c r="T186" t="str">
        <f>_xlfn.XLOOKUP(Orders[[#This Row],[Customer ID]],customers!$A$1:$A$1001,customers!$I$1:$I$1001,,0)</f>
        <v>No</v>
      </c>
    </row>
    <row r="187" spans="1:20" x14ac:dyDescent="0.35">
      <c r="A187" s="2" t="s">
        <v>1532</v>
      </c>
      <c r="B187" s="3">
        <v>43483</v>
      </c>
      <c r="C187" s="2" t="s">
        <v>1533</v>
      </c>
      <c r="D187" t="s">
        <v>6144</v>
      </c>
      <c r="E187" t="str">
        <f t="shared" si="12"/>
        <v>Excelsa-Dark-0.5</v>
      </c>
      <c r="F187" s="2">
        <v>5</v>
      </c>
      <c r="G187" s="2" t="str" cm="1">
        <f t="array" ref="G187">_xlfn.XLOOKUP(C187, customers!$A$1:A1186,customers!$B$1:B1186,,0)</f>
        <v>Angie Rizzetti</v>
      </c>
      <c r="H187" s="2" t="str" cm="1">
        <f t="array" ref="H187">IF(_xlfn.XLOOKUP(C187,customers!$A$1:A1186,customers!$C$1:C1186,,0) = 0,"", _xlfn.XLOOKUP(C187,customers!$A$1:A1186,customers!$C$1:C1186,,0))</f>
        <v>arizzetti55@naver.com</v>
      </c>
      <c r="I187" s="2" t="str">
        <f>_xlfn.XLOOKUP(C187,customers!$A$1:$A$1001,customers!$G$1:$G$1001,,0)</f>
        <v>United States</v>
      </c>
      <c r="J187" s="2" t="str">
        <f>_xlfn.XLOOKUP(Orders[[#This Row],[Customer ID]],customers!$A$1:$A$1001,customers!$F$1:$F$1001,,0)</f>
        <v>Lansing</v>
      </c>
      <c r="K187" t="str">
        <f>INDEX(products!$A$1:$G$49,MATCH(orders!$D187,products!$A$1:$A$49,0),MATCH(orders!K$1,products!$A$1:$G$1,0))</f>
        <v>Exc</v>
      </c>
      <c r="L187" t="str">
        <f>INDEX(products!$A$1:$G$49,MATCH(orders!$D187,products!$A$1:$A$49,0),MATCH(orders!L$1,products!$A$1:$G$1,0))</f>
        <v>D</v>
      </c>
      <c r="M187" s="14">
        <f>INDEX(products!$A$1:$G$49,MATCH(orders!$D187,products!$A$1:$A$49,0),MATCH(orders!M$1,products!$A$1:$G$1,0))</f>
        <v>0.5</v>
      </c>
      <c r="N187" s="4">
        <f>INDEX(products!$A$1:$G$49,MATCH(orders!$D187,products!$A$1:$A$49,0),MATCH(orders!N$1,products!$A$1:$G$1,0))</f>
        <v>7.29</v>
      </c>
      <c r="O187" s="13">
        <f t="shared" si="10"/>
        <v>36.450000000000003</v>
      </c>
      <c r="P187" s="13">
        <f>_xlfn.XLOOKUP(Orders[[#This Row],[Product ID]],products!$A$1:$A$49,products!$G$1:$G$49,,0)</f>
        <v>0.80190000000000006</v>
      </c>
      <c r="Q187" s="13">
        <f t="shared" si="11"/>
        <v>4.0095000000000001</v>
      </c>
      <c r="R187" t="str">
        <f t="shared" si="13"/>
        <v>Execelsa</v>
      </c>
      <c r="S187" t="str">
        <f t="shared" si="14"/>
        <v>Dark</v>
      </c>
      <c r="T187" t="str">
        <f>_xlfn.XLOOKUP(Orders[[#This Row],[Customer ID]],customers!$A$1:$A$1001,customers!$I$1:$I$1001,,0)</f>
        <v>Yes</v>
      </c>
    </row>
    <row r="188" spans="1:20" x14ac:dyDescent="0.35">
      <c r="A188" s="2" t="s">
        <v>1538</v>
      </c>
      <c r="B188" s="3">
        <v>43684</v>
      </c>
      <c r="C188" s="2" t="s">
        <v>1539</v>
      </c>
      <c r="D188" t="s">
        <v>6151</v>
      </c>
      <c r="E188" t="str">
        <f t="shared" si="12"/>
        <v>Robusta-Medium-2.5</v>
      </c>
      <c r="F188" s="2">
        <v>3</v>
      </c>
      <c r="G188" s="2" t="str" cm="1">
        <f t="array" ref="G188">_xlfn.XLOOKUP(C188, customers!$A$1:A1187,customers!$B$1:B1187,,0)</f>
        <v>Mord Meriet</v>
      </c>
      <c r="H188" s="2" t="str" cm="1">
        <f t="array" ref="H188">IF(_xlfn.XLOOKUP(C188,customers!$A$1:A1187,customers!$C$1:C1187,,0) = 0,"", _xlfn.XLOOKUP(C188,customers!$A$1:A1187,customers!$C$1:C1187,,0))</f>
        <v>mmeriet56@noaa.gov</v>
      </c>
      <c r="I188" s="2" t="str">
        <f>_xlfn.XLOOKUP(C188,customers!$A$1:$A$1001,customers!$G$1:$G$1001,,0)</f>
        <v>United States</v>
      </c>
      <c r="J188" s="2" t="str">
        <f>_xlfn.XLOOKUP(Orders[[#This Row],[Customer ID]],customers!$A$1:$A$1001,customers!$F$1:$F$1001,,0)</f>
        <v>Grand Forks</v>
      </c>
      <c r="K188" t="str">
        <f>INDEX(products!$A$1:$G$49,MATCH(orders!$D188,products!$A$1:$A$49,0),MATCH(orders!K$1,products!$A$1:$G$1,0))</f>
        <v>Rob</v>
      </c>
      <c r="L188" t="str">
        <f>INDEX(products!$A$1:$G$49,MATCH(orders!$D188,products!$A$1:$A$49,0),MATCH(orders!L$1,products!$A$1:$G$1,0))</f>
        <v>M</v>
      </c>
      <c r="M188" s="14">
        <f>INDEX(products!$A$1:$G$49,MATCH(orders!$D188,products!$A$1:$A$49,0),MATCH(orders!M$1,products!$A$1:$G$1,0))</f>
        <v>2.5</v>
      </c>
      <c r="N188" s="4">
        <f>INDEX(products!$A$1:$G$49,MATCH(orders!$D188,products!$A$1:$A$49,0),MATCH(orders!N$1,products!$A$1:$G$1,0))</f>
        <v>22.884999999999998</v>
      </c>
      <c r="O188" s="13">
        <f t="shared" si="10"/>
        <v>68.655000000000001</v>
      </c>
      <c r="P188" s="13">
        <f>_xlfn.XLOOKUP(Orders[[#This Row],[Product ID]],products!$A$1:$A$49,products!$G$1:$G$49,,0)</f>
        <v>1.3730999999999998</v>
      </c>
      <c r="Q188" s="13">
        <f t="shared" si="11"/>
        <v>4.1192999999999991</v>
      </c>
      <c r="R188" t="str">
        <f t="shared" si="13"/>
        <v>Robusta</v>
      </c>
      <c r="S188" t="str">
        <f t="shared" si="14"/>
        <v>Medium</v>
      </c>
      <c r="T188" t="str">
        <f>_xlfn.XLOOKUP(Orders[[#This Row],[Customer ID]],customers!$A$1:$A$1001,customers!$I$1:$I$1001,,0)</f>
        <v>No</v>
      </c>
    </row>
    <row r="189" spans="1:20" x14ac:dyDescent="0.35">
      <c r="A189" s="2" t="s">
        <v>1544</v>
      </c>
      <c r="B189" s="3">
        <v>44633</v>
      </c>
      <c r="C189" s="2" t="s">
        <v>1545</v>
      </c>
      <c r="D189" t="s">
        <v>6160</v>
      </c>
      <c r="E189" t="str">
        <f t="shared" si="12"/>
        <v>Liberica-Medium-0.5</v>
      </c>
      <c r="F189" s="2">
        <v>5</v>
      </c>
      <c r="G189" s="2" t="str" cm="1">
        <f t="array" ref="G189">_xlfn.XLOOKUP(C189, customers!$A$1:A1188,customers!$B$1:B1188,,0)</f>
        <v>Lawrence Pratt</v>
      </c>
      <c r="H189" s="2" t="str" cm="1">
        <f t="array" ref="H189">IF(_xlfn.XLOOKUP(C189,customers!$A$1:A1188,customers!$C$1:C1188,,0) = 0,"", _xlfn.XLOOKUP(C189,customers!$A$1:A1188,customers!$C$1:C1188,,0))</f>
        <v>lpratt57@netvibes.com</v>
      </c>
      <c r="I189" s="2" t="str">
        <f>_xlfn.XLOOKUP(C189,customers!$A$1:$A$1001,customers!$G$1:$G$1001,,0)</f>
        <v>United States</v>
      </c>
      <c r="J189" s="2" t="str">
        <f>_xlfn.XLOOKUP(Orders[[#This Row],[Customer ID]],customers!$A$1:$A$1001,customers!$F$1:$F$1001,,0)</f>
        <v>Anchorage</v>
      </c>
      <c r="K189" t="str">
        <f>INDEX(products!$A$1:$G$49,MATCH(orders!$D189,products!$A$1:$A$49,0),MATCH(orders!K$1,products!$A$1:$G$1,0))</f>
        <v>Lib</v>
      </c>
      <c r="L189" t="str">
        <f>INDEX(products!$A$1:$G$49,MATCH(orders!$D189,products!$A$1:$A$49,0),MATCH(orders!L$1,products!$A$1:$G$1,0))</f>
        <v>M</v>
      </c>
      <c r="M189" s="14">
        <f>INDEX(products!$A$1:$G$49,MATCH(orders!$D189,products!$A$1:$A$49,0),MATCH(orders!M$1,products!$A$1:$G$1,0))</f>
        <v>0.5</v>
      </c>
      <c r="N189" s="4">
        <f>INDEX(products!$A$1:$G$49,MATCH(orders!$D189,products!$A$1:$A$49,0),MATCH(orders!N$1,products!$A$1:$G$1,0))</f>
        <v>8.73</v>
      </c>
      <c r="O189" s="13">
        <f t="shared" si="10"/>
        <v>43.650000000000006</v>
      </c>
      <c r="P189" s="13">
        <f>_xlfn.XLOOKUP(Orders[[#This Row],[Product ID]],products!$A$1:$A$49,products!$G$1:$G$49,,0)</f>
        <v>1.1349</v>
      </c>
      <c r="Q189" s="13">
        <f t="shared" si="11"/>
        <v>5.6745000000000001</v>
      </c>
      <c r="R189" t="str">
        <f t="shared" si="13"/>
        <v>Liberica</v>
      </c>
      <c r="S189" t="str">
        <f t="shared" si="14"/>
        <v>Medium</v>
      </c>
      <c r="T189" t="str">
        <f>_xlfn.XLOOKUP(Orders[[#This Row],[Customer ID]],customers!$A$1:$A$1001,customers!$I$1:$I$1001,,0)</f>
        <v>Yes</v>
      </c>
    </row>
    <row r="190" spans="1:20" x14ac:dyDescent="0.35">
      <c r="A190" s="2" t="s">
        <v>1549</v>
      </c>
      <c r="B190" s="3">
        <v>44698</v>
      </c>
      <c r="C190" s="2" t="s">
        <v>1550</v>
      </c>
      <c r="D190" t="s">
        <v>6184</v>
      </c>
      <c r="E190" t="str">
        <f t="shared" si="12"/>
        <v>Excelsa-Light-0.2</v>
      </c>
      <c r="F190" s="2">
        <v>1</v>
      </c>
      <c r="G190" s="2" t="str" cm="1">
        <f t="array" ref="G190">_xlfn.XLOOKUP(C190, customers!$A$1:A1189,customers!$B$1:B1189,,0)</f>
        <v>Astrix Kitchingham</v>
      </c>
      <c r="H190" s="2" t="str" cm="1">
        <f t="array" ref="H190">IF(_xlfn.XLOOKUP(C190,customers!$A$1:A1189,customers!$C$1:C1189,,0) = 0,"", _xlfn.XLOOKUP(C190,customers!$A$1:A1189,customers!$C$1:C1189,,0))</f>
        <v>akitchingham58@com.com</v>
      </c>
      <c r="I190" s="2" t="str">
        <f>_xlfn.XLOOKUP(C190,customers!$A$1:$A$1001,customers!$G$1:$G$1001,,0)</f>
        <v>United States</v>
      </c>
      <c r="J190" s="2" t="str">
        <f>_xlfn.XLOOKUP(Orders[[#This Row],[Customer ID]],customers!$A$1:$A$1001,customers!$F$1:$F$1001,,0)</f>
        <v>Oklahoma City</v>
      </c>
      <c r="K190" t="str">
        <f>INDEX(products!$A$1:$G$49,MATCH(orders!$D190,products!$A$1:$A$49,0),MATCH(orders!K$1,products!$A$1:$G$1,0))</f>
        <v>Exc</v>
      </c>
      <c r="L190" t="str">
        <f>INDEX(products!$A$1:$G$49,MATCH(orders!$D190,products!$A$1:$A$49,0),MATCH(orders!L$1,products!$A$1:$G$1,0))</f>
        <v>L</v>
      </c>
      <c r="M190" s="14">
        <f>INDEX(products!$A$1:$G$49,MATCH(orders!$D190,products!$A$1:$A$49,0),MATCH(orders!M$1,products!$A$1:$G$1,0))</f>
        <v>0.2</v>
      </c>
      <c r="N190" s="4">
        <f>INDEX(products!$A$1:$G$49,MATCH(orders!$D190,products!$A$1:$A$49,0),MATCH(orders!N$1,products!$A$1:$G$1,0))</f>
        <v>4.4550000000000001</v>
      </c>
      <c r="O190" s="13">
        <f t="shared" si="10"/>
        <v>4.4550000000000001</v>
      </c>
      <c r="P190" s="13">
        <f>_xlfn.XLOOKUP(Orders[[#This Row],[Product ID]],products!$A$1:$A$49,products!$G$1:$G$49,,0)</f>
        <v>0.49004999999999999</v>
      </c>
      <c r="Q190" s="13">
        <f t="shared" si="11"/>
        <v>0.49004999999999999</v>
      </c>
      <c r="R190" t="str">
        <f t="shared" si="13"/>
        <v>Execelsa</v>
      </c>
      <c r="S190" t="str">
        <f t="shared" si="14"/>
        <v>Light</v>
      </c>
      <c r="T190" t="str">
        <f>_xlfn.XLOOKUP(Orders[[#This Row],[Customer ID]],customers!$A$1:$A$1001,customers!$I$1:$I$1001,,0)</f>
        <v>Yes</v>
      </c>
    </row>
    <row r="191" spans="1:20" x14ac:dyDescent="0.35">
      <c r="A191" s="2" t="s">
        <v>1555</v>
      </c>
      <c r="B191" s="3">
        <v>43813</v>
      </c>
      <c r="C191" s="2" t="s">
        <v>1556</v>
      </c>
      <c r="D191" t="s">
        <v>6162</v>
      </c>
      <c r="E191" t="str">
        <f t="shared" si="12"/>
        <v>Liberica-Medium-1</v>
      </c>
      <c r="F191" s="2">
        <v>3</v>
      </c>
      <c r="G191" s="2" t="str" cm="1">
        <f t="array" ref="G191">_xlfn.XLOOKUP(C191, customers!$A$1:A1190,customers!$B$1:B1190,,0)</f>
        <v>Burnard Bartholin</v>
      </c>
      <c r="H191" s="2" t="str" cm="1">
        <f t="array" ref="H191">IF(_xlfn.XLOOKUP(C191,customers!$A$1:A1190,customers!$C$1:C1190,,0) = 0,"", _xlfn.XLOOKUP(C191,customers!$A$1:A1190,customers!$C$1:C1190,,0))</f>
        <v>bbartholin59@xinhuanet.com</v>
      </c>
      <c r="I191" s="2" t="str">
        <f>_xlfn.XLOOKUP(C191,customers!$A$1:$A$1001,customers!$G$1:$G$1001,,0)</f>
        <v>United States</v>
      </c>
      <c r="J191" s="2" t="str">
        <f>_xlfn.XLOOKUP(Orders[[#This Row],[Customer ID]],customers!$A$1:$A$1001,customers!$F$1:$F$1001,,0)</f>
        <v>Tulsa</v>
      </c>
      <c r="K191" t="str">
        <f>INDEX(products!$A$1:$G$49,MATCH(orders!$D191,products!$A$1:$A$49,0),MATCH(orders!K$1,products!$A$1:$G$1,0))</f>
        <v>Lib</v>
      </c>
      <c r="L191" t="str">
        <f>INDEX(products!$A$1:$G$49,MATCH(orders!$D191,products!$A$1:$A$49,0),MATCH(orders!L$1,products!$A$1:$G$1,0))</f>
        <v>M</v>
      </c>
      <c r="M191" s="14">
        <f>INDEX(products!$A$1:$G$49,MATCH(orders!$D191,products!$A$1:$A$49,0),MATCH(orders!M$1,products!$A$1:$G$1,0))</f>
        <v>1</v>
      </c>
      <c r="N191" s="4">
        <f>INDEX(products!$A$1:$G$49,MATCH(orders!$D191,products!$A$1:$A$49,0),MATCH(orders!N$1,products!$A$1:$G$1,0))</f>
        <v>14.55</v>
      </c>
      <c r="O191" s="13">
        <f t="shared" si="10"/>
        <v>43.650000000000006</v>
      </c>
      <c r="P191" s="13">
        <f>_xlfn.XLOOKUP(Orders[[#This Row],[Product ID]],products!$A$1:$A$49,products!$G$1:$G$49,,0)</f>
        <v>1.8915000000000002</v>
      </c>
      <c r="Q191" s="13">
        <f t="shared" si="11"/>
        <v>5.6745000000000001</v>
      </c>
      <c r="R191" t="str">
        <f t="shared" si="13"/>
        <v>Liberica</v>
      </c>
      <c r="S191" t="str">
        <f t="shared" si="14"/>
        <v>Medium</v>
      </c>
      <c r="T191" t="str">
        <f>_xlfn.XLOOKUP(Orders[[#This Row],[Customer ID]],customers!$A$1:$A$1001,customers!$I$1:$I$1001,,0)</f>
        <v>Yes</v>
      </c>
    </row>
    <row r="192" spans="1:20" x14ac:dyDescent="0.35">
      <c r="A192" s="2" t="s">
        <v>1561</v>
      </c>
      <c r="B192" s="3">
        <v>43845</v>
      </c>
      <c r="C192" s="2" t="s">
        <v>1562</v>
      </c>
      <c r="D192" t="s">
        <v>6181</v>
      </c>
      <c r="E192" t="str">
        <f t="shared" si="12"/>
        <v>Liberica-Medium-2.5</v>
      </c>
      <c r="F192" s="2">
        <v>1</v>
      </c>
      <c r="G192" s="2" t="str" cm="1">
        <f t="array" ref="G192">_xlfn.XLOOKUP(C192, customers!$A$1:A1191,customers!$B$1:B1191,,0)</f>
        <v>Madelene Prinn</v>
      </c>
      <c r="H192" s="2" t="str" cm="1">
        <f t="array" ref="H192">IF(_xlfn.XLOOKUP(C192,customers!$A$1:A1191,customers!$C$1:C1191,,0) = 0,"", _xlfn.XLOOKUP(C192,customers!$A$1:A1191,customers!$C$1:C1191,,0))</f>
        <v>mprinn5a@usa.gov</v>
      </c>
      <c r="I192" s="2" t="str">
        <f>_xlfn.XLOOKUP(C192,customers!$A$1:$A$1001,customers!$G$1:$G$1001,,0)</f>
        <v>United States</v>
      </c>
      <c r="J192" s="2" t="str">
        <f>_xlfn.XLOOKUP(Orders[[#This Row],[Customer ID]],customers!$A$1:$A$1001,customers!$F$1:$F$1001,,0)</f>
        <v>Detroit</v>
      </c>
      <c r="K192" t="str">
        <f>INDEX(products!$A$1:$G$49,MATCH(orders!$D192,products!$A$1:$A$49,0),MATCH(orders!K$1,products!$A$1:$G$1,0))</f>
        <v>Lib</v>
      </c>
      <c r="L192" t="str">
        <f>INDEX(products!$A$1:$G$49,MATCH(orders!$D192,products!$A$1:$A$49,0),MATCH(orders!L$1,products!$A$1:$G$1,0))</f>
        <v>M</v>
      </c>
      <c r="M192" s="14">
        <f>INDEX(products!$A$1:$G$49,MATCH(orders!$D192,products!$A$1:$A$49,0),MATCH(orders!M$1,products!$A$1:$G$1,0))</f>
        <v>2.5</v>
      </c>
      <c r="N192" s="4">
        <f>INDEX(products!$A$1:$G$49,MATCH(orders!$D192,products!$A$1:$A$49,0),MATCH(orders!N$1,products!$A$1:$G$1,0))</f>
        <v>33.464999999999996</v>
      </c>
      <c r="O192" s="13">
        <f t="shared" si="10"/>
        <v>33.464999999999996</v>
      </c>
      <c r="P192" s="13">
        <f>_xlfn.XLOOKUP(Orders[[#This Row],[Product ID]],products!$A$1:$A$49,products!$G$1:$G$49,,0)</f>
        <v>4.3504499999999995</v>
      </c>
      <c r="Q192" s="13">
        <f t="shared" si="11"/>
        <v>4.3504499999999995</v>
      </c>
      <c r="R192" t="str">
        <f t="shared" si="13"/>
        <v>Liberica</v>
      </c>
      <c r="S192" t="str">
        <f t="shared" si="14"/>
        <v>Medium</v>
      </c>
      <c r="T192" t="str">
        <f>_xlfn.XLOOKUP(Orders[[#This Row],[Customer ID]],customers!$A$1:$A$1001,customers!$I$1:$I$1001,,0)</f>
        <v>Yes</v>
      </c>
    </row>
    <row r="193" spans="1:20" x14ac:dyDescent="0.35">
      <c r="A193" s="2" t="s">
        <v>1567</v>
      </c>
      <c r="B193" s="3">
        <v>43567</v>
      </c>
      <c r="C193" s="2" t="s">
        <v>1568</v>
      </c>
      <c r="D193" t="s">
        <v>6150</v>
      </c>
      <c r="E193" t="str">
        <f t="shared" si="12"/>
        <v>Liberica-Dark-0.2</v>
      </c>
      <c r="F193" s="2">
        <v>5</v>
      </c>
      <c r="G193" s="2" t="str" cm="1">
        <f t="array" ref="G193">_xlfn.XLOOKUP(C193, customers!$A$1:A1192,customers!$B$1:B1192,,0)</f>
        <v>Alisun Baudino</v>
      </c>
      <c r="H193" s="2" t="str" cm="1">
        <f t="array" ref="H193">IF(_xlfn.XLOOKUP(C193,customers!$A$1:A1192,customers!$C$1:C1192,,0) = 0,"", _xlfn.XLOOKUP(C193,customers!$A$1:A1192,customers!$C$1:C1192,,0))</f>
        <v>abaudino5b@netvibes.com</v>
      </c>
      <c r="I193" s="2" t="str">
        <f>_xlfn.XLOOKUP(C193,customers!$A$1:$A$1001,customers!$G$1:$G$1001,,0)</f>
        <v>United States</v>
      </c>
      <c r="J193" s="2" t="str">
        <f>_xlfn.XLOOKUP(Orders[[#This Row],[Customer ID]],customers!$A$1:$A$1001,customers!$F$1:$F$1001,,0)</f>
        <v>Washington</v>
      </c>
      <c r="K193" t="str">
        <f>INDEX(products!$A$1:$G$49,MATCH(orders!$D193,products!$A$1:$A$49,0),MATCH(orders!K$1,products!$A$1:$G$1,0))</f>
        <v>Lib</v>
      </c>
      <c r="L193" t="str">
        <f>INDEX(products!$A$1:$G$49,MATCH(orders!$D193,products!$A$1:$A$49,0),MATCH(orders!L$1,products!$A$1:$G$1,0))</f>
        <v>D</v>
      </c>
      <c r="M193" s="14">
        <f>INDEX(products!$A$1:$G$49,MATCH(orders!$D193,products!$A$1:$A$49,0),MATCH(orders!M$1,products!$A$1:$G$1,0))</f>
        <v>0.2</v>
      </c>
      <c r="N193" s="4">
        <f>INDEX(products!$A$1:$G$49,MATCH(orders!$D193,products!$A$1:$A$49,0),MATCH(orders!N$1,products!$A$1:$G$1,0))</f>
        <v>3.8849999999999998</v>
      </c>
      <c r="O193" s="13">
        <f t="shared" si="10"/>
        <v>19.424999999999997</v>
      </c>
      <c r="P193" s="13">
        <f>_xlfn.XLOOKUP(Orders[[#This Row],[Product ID]],products!$A$1:$A$49,products!$G$1:$G$49,,0)</f>
        <v>0.50505</v>
      </c>
      <c r="Q193" s="13">
        <f t="shared" si="11"/>
        <v>2.5252499999999998</v>
      </c>
      <c r="R193" t="str">
        <f t="shared" si="13"/>
        <v>Liberica</v>
      </c>
      <c r="S193" t="str">
        <f t="shared" si="14"/>
        <v>Dark</v>
      </c>
      <c r="T193" t="str">
        <f>_xlfn.XLOOKUP(Orders[[#This Row],[Customer ID]],customers!$A$1:$A$1001,customers!$I$1:$I$1001,,0)</f>
        <v>Yes</v>
      </c>
    </row>
    <row r="194" spans="1:20" x14ac:dyDescent="0.35">
      <c r="A194" s="2" t="s">
        <v>1573</v>
      </c>
      <c r="B194" s="3">
        <v>43919</v>
      </c>
      <c r="C194" s="2" t="s">
        <v>1574</v>
      </c>
      <c r="D194" t="s">
        <v>6183</v>
      </c>
      <c r="E194" t="str">
        <f t="shared" si="12"/>
        <v>Excelsa-Dark-1</v>
      </c>
      <c r="F194" s="2">
        <v>6</v>
      </c>
      <c r="G194" s="2" t="str" cm="1">
        <f t="array" ref="G194">_xlfn.XLOOKUP(C194, customers!$A$1:A1193,customers!$B$1:B1193,,0)</f>
        <v>Philipa Petrushanko</v>
      </c>
      <c r="H194" s="2" t="str" cm="1">
        <f t="array" ref="H194">IF(_xlfn.XLOOKUP(C194,customers!$A$1:A1193,customers!$C$1:C1193,,0) = 0,"", _xlfn.XLOOKUP(C194,customers!$A$1:A1193,customers!$C$1:C1193,,0))</f>
        <v>ppetrushanko5c@blinklist.com</v>
      </c>
      <c r="I194" s="2" t="str">
        <f>_xlfn.XLOOKUP(C194,customers!$A$1:$A$1001,customers!$G$1:$G$1001,,0)</f>
        <v>Ireland</v>
      </c>
      <c r="J194" s="2" t="str">
        <f>_xlfn.XLOOKUP(Orders[[#This Row],[Customer ID]],customers!$A$1:$A$1001,customers!$F$1:$F$1001,,0)</f>
        <v>Nenagh</v>
      </c>
      <c r="K194" t="str">
        <f>INDEX(products!$A$1:$G$49,MATCH(orders!$D194,products!$A$1:$A$49,0),MATCH(orders!K$1,products!$A$1:$G$1,0))</f>
        <v>Exc</v>
      </c>
      <c r="L194" t="str">
        <f>INDEX(products!$A$1:$G$49,MATCH(orders!$D194,products!$A$1:$A$49,0),MATCH(orders!L$1,products!$A$1:$G$1,0))</f>
        <v>D</v>
      </c>
      <c r="M194" s="14">
        <f>INDEX(products!$A$1:$G$49,MATCH(orders!$D194,products!$A$1:$A$49,0),MATCH(orders!M$1,products!$A$1:$G$1,0))</f>
        <v>1</v>
      </c>
      <c r="N194" s="4">
        <f>INDEX(products!$A$1:$G$49,MATCH(orders!$D194,products!$A$1:$A$49,0),MATCH(orders!N$1,products!$A$1:$G$1,0))</f>
        <v>12.15</v>
      </c>
      <c r="O194" s="13">
        <f t="shared" ref="O194:O257" si="15">N194*F194</f>
        <v>72.900000000000006</v>
      </c>
      <c r="P194" s="13">
        <f>_xlfn.XLOOKUP(Orders[[#This Row],[Product ID]],products!$A$1:$A$49,products!$G$1:$G$49,,0)</f>
        <v>1.3365</v>
      </c>
      <c r="Q194" s="13">
        <f t="shared" ref="Q194:Q257" si="16">P194*F194</f>
        <v>8.0190000000000001</v>
      </c>
      <c r="R194" t="str">
        <f t="shared" si="13"/>
        <v>Execelsa</v>
      </c>
      <c r="S194" t="str">
        <f t="shared" si="14"/>
        <v>Dark</v>
      </c>
      <c r="T194" t="str">
        <f>_xlfn.XLOOKUP(Orders[[#This Row],[Customer ID]],customers!$A$1:$A$1001,customers!$I$1:$I$1001,,0)</f>
        <v>Yes</v>
      </c>
    </row>
    <row r="195" spans="1:20" x14ac:dyDescent="0.35">
      <c r="A195" s="2" t="s">
        <v>1579</v>
      </c>
      <c r="B195" s="3">
        <v>44644</v>
      </c>
      <c r="C195" s="2" t="s">
        <v>1580</v>
      </c>
      <c r="D195" t="s">
        <v>6171</v>
      </c>
      <c r="E195" t="str">
        <f t="shared" ref="E195:E258" si="17">IF(LEFT(D195,1)="R", "Robusta",
    IF(LEFT(D195,1)="A", "Arabica",
        IF(LEFT(D195,1)="E", "Excelsa",
            IF(LEFT(D195,1)="L", "Liberica", "")
        )
    )
) &amp; "-" &amp;
IF(MID(D195,3,1)="D", "Dark",
    IF(MID(D195,3,1)="M", "Medium",
        IF(MID(D195,3,1)="L", "Light", "")
    )
) &amp; "-" &amp;
MID(D195,5,LEN(D195)-4)</f>
        <v>Excelsa-Light-1</v>
      </c>
      <c r="F195" s="2">
        <v>3</v>
      </c>
      <c r="G195" s="2" t="str" cm="1">
        <f t="array" ref="G195">_xlfn.XLOOKUP(C195, customers!$A$1:A1194,customers!$B$1:B1194,,0)</f>
        <v>Kimberli Mustchin</v>
      </c>
      <c r="H195" s="2" t="str" cm="1">
        <f t="array" ref="H195">IF(_xlfn.XLOOKUP(C195,customers!$A$1:A1194,customers!$C$1:C1194,,0) = 0,"", _xlfn.XLOOKUP(C195,customers!$A$1:A1194,customers!$C$1:C1194,,0))</f>
        <v/>
      </c>
      <c r="I195" s="2" t="str">
        <f>_xlfn.XLOOKUP(C195,customers!$A$1:$A$1001,customers!$G$1:$G$1001,,0)</f>
        <v>United States</v>
      </c>
      <c r="J195" s="2" t="str">
        <f>_xlfn.XLOOKUP(Orders[[#This Row],[Customer ID]],customers!$A$1:$A$1001,customers!$F$1:$F$1001,,0)</f>
        <v>Mesa</v>
      </c>
      <c r="K195" t="str">
        <f>INDEX(products!$A$1:$G$49,MATCH(orders!$D195,products!$A$1:$A$49,0),MATCH(orders!K$1,products!$A$1:$G$1,0))</f>
        <v>Exc</v>
      </c>
      <c r="L195" t="str">
        <f>INDEX(products!$A$1:$G$49,MATCH(orders!$D195,products!$A$1:$A$49,0),MATCH(orders!L$1,products!$A$1:$G$1,0))</f>
        <v>L</v>
      </c>
      <c r="M195" s="14">
        <f>INDEX(products!$A$1:$G$49,MATCH(orders!$D195,products!$A$1:$A$49,0),MATCH(orders!M$1,products!$A$1:$G$1,0))</f>
        <v>1</v>
      </c>
      <c r="N195" s="4">
        <f>INDEX(products!$A$1:$G$49,MATCH(orders!$D195,products!$A$1:$A$49,0),MATCH(orders!N$1,products!$A$1:$G$1,0))</f>
        <v>14.85</v>
      </c>
      <c r="O195" s="13">
        <f t="shared" si="15"/>
        <v>44.55</v>
      </c>
      <c r="P195" s="13">
        <f>_xlfn.XLOOKUP(Orders[[#This Row],[Product ID]],products!$A$1:$A$49,products!$G$1:$G$49,,0)</f>
        <v>1.6335</v>
      </c>
      <c r="Q195" s="13">
        <f t="shared" si="16"/>
        <v>4.9005000000000001</v>
      </c>
      <c r="R195" t="str">
        <f t="shared" ref="R195:R258" si="18">IF(K195="Rob","Robusta",IF(K195="Exc","Execelsa",IF(K195="Ara","Arabica",IF(K195="Lib","Liberica",""))))</f>
        <v>Execelsa</v>
      </c>
      <c r="S195" t="str">
        <f t="shared" ref="S195:S258" si="19" xml:space="preserve"> IF(L195="M", "Medium", IF(L195="L","Light",IF(L195="D","Dark","")))</f>
        <v>Light</v>
      </c>
      <c r="T195" t="str">
        <f>_xlfn.XLOOKUP(Orders[[#This Row],[Customer ID]],customers!$A$1:$A$1001,customers!$I$1:$I$1001,,0)</f>
        <v>No</v>
      </c>
    </row>
    <row r="196" spans="1:20" x14ac:dyDescent="0.35">
      <c r="A196" s="2" t="s">
        <v>1584</v>
      </c>
      <c r="B196" s="3">
        <v>44398</v>
      </c>
      <c r="C196" s="2" t="s">
        <v>1585</v>
      </c>
      <c r="D196" t="s">
        <v>6144</v>
      </c>
      <c r="E196" t="str">
        <f t="shared" si="17"/>
        <v>Excelsa-Dark-0.5</v>
      </c>
      <c r="F196" s="2">
        <v>5</v>
      </c>
      <c r="G196" s="2" t="str" cm="1">
        <f t="array" ref="G196">_xlfn.XLOOKUP(C196, customers!$A$1:A1195,customers!$B$1:B1195,,0)</f>
        <v>Emlynne Laird</v>
      </c>
      <c r="H196" s="2" t="str" cm="1">
        <f t="array" ref="H196">IF(_xlfn.XLOOKUP(C196,customers!$A$1:A1195,customers!$C$1:C1195,,0) = 0,"", _xlfn.XLOOKUP(C196,customers!$A$1:A1195,customers!$C$1:C1195,,0))</f>
        <v>elaird5e@bing.com</v>
      </c>
      <c r="I196" s="2" t="str">
        <f>_xlfn.XLOOKUP(C196,customers!$A$1:$A$1001,customers!$G$1:$G$1001,,0)</f>
        <v>United States</v>
      </c>
      <c r="J196" s="2" t="str">
        <f>_xlfn.XLOOKUP(Orders[[#This Row],[Customer ID]],customers!$A$1:$A$1001,customers!$F$1:$F$1001,,0)</f>
        <v>Warren</v>
      </c>
      <c r="K196" t="str">
        <f>INDEX(products!$A$1:$G$49,MATCH(orders!$D196,products!$A$1:$A$49,0),MATCH(orders!K$1,products!$A$1:$G$1,0))</f>
        <v>Exc</v>
      </c>
      <c r="L196" t="str">
        <f>INDEX(products!$A$1:$G$49,MATCH(orders!$D196,products!$A$1:$A$49,0),MATCH(orders!L$1,products!$A$1:$G$1,0))</f>
        <v>D</v>
      </c>
      <c r="M196" s="14">
        <f>INDEX(products!$A$1:$G$49,MATCH(orders!$D196,products!$A$1:$A$49,0),MATCH(orders!M$1,products!$A$1:$G$1,0))</f>
        <v>0.5</v>
      </c>
      <c r="N196" s="4">
        <f>INDEX(products!$A$1:$G$49,MATCH(orders!$D196,products!$A$1:$A$49,0),MATCH(orders!N$1,products!$A$1:$G$1,0))</f>
        <v>7.29</v>
      </c>
      <c r="O196" s="13">
        <f t="shared" si="15"/>
        <v>36.450000000000003</v>
      </c>
      <c r="P196" s="13">
        <f>_xlfn.XLOOKUP(Orders[[#This Row],[Product ID]],products!$A$1:$A$49,products!$G$1:$G$49,,0)</f>
        <v>0.80190000000000006</v>
      </c>
      <c r="Q196" s="13">
        <f t="shared" si="16"/>
        <v>4.0095000000000001</v>
      </c>
      <c r="R196" t="str">
        <f t="shared" si="18"/>
        <v>Execelsa</v>
      </c>
      <c r="S196" t="str">
        <f t="shared" si="19"/>
        <v>Dark</v>
      </c>
      <c r="T196" t="str">
        <f>_xlfn.XLOOKUP(Orders[[#This Row],[Customer ID]],customers!$A$1:$A$1001,customers!$I$1:$I$1001,,0)</f>
        <v>No</v>
      </c>
    </row>
    <row r="197" spans="1:20" x14ac:dyDescent="0.35">
      <c r="A197" s="2" t="s">
        <v>1590</v>
      </c>
      <c r="B197" s="3">
        <v>43683</v>
      </c>
      <c r="C197" s="2" t="s">
        <v>1591</v>
      </c>
      <c r="D197" t="s">
        <v>6140</v>
      </c>
      <c r="E197" t="str">
        <f t="shared" si="17"/>
        <v>Arabica-Light-1</v>
      </c>
      <c r="F197" s="2">
        <v>3</v>
      </c>
      <c r="G197" s="2" t="str" cm="1">
        <f t="array" ref="G197">_xlfn.XLOOKUP(C197, customers!$A$1:A1196,customers!$B$1:B1196,,0)</f>
        <v>Marlena Howsden</v>
      </c>
      <c r="H197" s="2" t="str" cm="1">
        <f t="array" ref="H197">IF(_xlfn.XLOOKUP(C197,customers!$A$1:A1196,customers!$C$1:C1196,,0) = 0,"", _xlfn.XLOOKUP(C197,customers!$A$1:A1196,customers!$C$1:C1196,,0))</f>
        <v>mhowsden5f@infoseek.co.jp</v>
      </c>
      <c r="I197" s="2" t="str">
        <f>_xlfn.XLOOKUP(C197,customers!$A$1:$A$1001,customers!$G$1:$G$1001,,0)</f>
        <v>United States</v>
      </c>
      <c r="J197" s="2" t="str">
        <f>_xlfn.XLOOKUP(Orders[[#This Row],[Customer ID]],customers!$A$1:$A$1001,customers!$F$1:$F$1001,,0)</f>
        <v>Memphis</v>
      </c>
      <c r="K197" t="str">
        <f>INDEX(products!$A$1:$G$49,MATCH(orders!$D197,products!$A$1:$A$49,0),MATCH(orders!K$1,products!$A$1:$G$1,0))</f>
        <v>Ara</v>
      </c>
      <c r="L197" t="str">
        <f>INDEX(products!$A$1:$G$49,MATCH(orders!$D197,products!$A$1:$A$49,0),MATCH(orders!L$1,products!$A$1:$G$1,0))</f>
        <v>L</v>
      </c>
      <c r="M197" s="14">
        <f>INDEX(products!$A$1:$G$49,MATCH(orders!$D197,products!$A$1:$A$49,0),MATCH(orders!M$1,products!$A$1:$G$1,0))</f>
        <v>1</v>
      </c>
      <c r="N197" s="4">
        <f>INDEX(products!$A$1:$G$49,MATCH(orders!$D197,products!$A$1:$A$49,0),MATCH(orders!N$1,products!$A$1:$G$1,0))</f>
        <v>12.95</v>
      </c>
      <c r="O197" s="13">
        <f t="shared" si="15"/>
        <v>38.849999999999994</v>
      </c>
      <c r="P197" s="13">
        <f>_xlfn.XLOOKUP(Orders[[#This Row],[Product ID]],products!$A$1:$A$49,products!$G$1:$G$49,,0)</f>
        <v>1.1655</v>
      </c>
      <c r="Q197" s="13">
        <f t="shared" si="16"/>
        <v>3.4965000000000002</v>
      </c>
      <c r="R197" t="str">
        <f t="shared" si="18"/>
        <v>Arabica</v>
      </c>
      <c r="S197" t="str">
        <f t="shared" si="19"/>
        <v>Light</v>
      </c>
      <c r="T197" t="str">
        <f>_xlfn.XLOOKUP(Orders[[#This Row],[Customer ID]],customers!$A$1:$A$1001,customers!$I$1:$I$1001,,0)</f>
        <v>No</v>
      </c>
    </row>
    <row r="198" spans="1:20" x14ac:dyDescent="0.35">
      <c r="A198" s="2" t="s">
        <v>1596</v>
      </c>
      <c r="B198" s="3">
        <v>44339</v>
      </c>
      <c r="C198" s="2" t="s">
        <v>1597</v>
      </c>
      <c r="D198" t="s">
        <v>6176</v>
      </c>
      <c r="E198" t="str">
        <f t="shared" si="17"/>
        <v>Excelsa-Light-0.5</v>
      </c>
      <c r="F198" s="2">
        <v>6</v>
      </c>
      <c r="G198" s="2" t="str" cm="1">
        <f t="array" ref="G198">_xlfn.XLOOKUP(C198, customers!$A$1:A1197,customers!$B$1:B1197,,0)</f>
        <v>Nealson Cuttler</v>
      </c>
      <c r="H198" s="2" t="str" cm="1">
        <f t="array" ref="H198">IF(_xlfn.XLOOKUP(C198,customers!$A$1:A1197,customers!$C$1:C1197,,0) = 0,"", _xlfn.XLOOKUP(C198,customers!$A$1:A1197,customers!$C$1:C1197,,0))</f>
        <v>ncuttler5g@parallels.com</v>
      </c>
      <c r="I198" s="2" t="str">
        <f>_xlfn.XLOOKUP(C198,customers!$A$1:$A$1001,customers!$G$1:$G$1001,,0)</f>
        <v>United States</v>
      </c>
      <c r="J198" s="2" t="str">
        <f>_xlfn.XLOOKUP(Orders[[#This Row],[Customer ID]],customers!$A$1:$A$1001,customers!$F$1:$F$1001,,0)</f>
        <v>Washington</v>
      </c>
      <c r="K198" t="str">
        <f>INDEX(products!$A$1:$G$49,MATCH(orders!$D198,products!$A$1:$A$49,0),MATCH(orders!K$1,products!$A$1:$G$1,0))</f>
        <v>Exc</v>
      </c>
      <c r="L198" t="str">
        <f>INDEX(products!$A$1:$G$49,MATCH(orders!$D198,products!$A$1:$A$49,0),MATCH(orders!L$1,products!$A$1:$G$1,0))</f>
        <v>L</v>
      </c>
      <c r="M198" s="14">
        <f>INDEX(products!$A$1:$G$49,MATCH(orders!$D198,products!$A$1:$A$49,0),MATCH(orders!M$1,products!$A$1:$G$1,0))</f>
        <v>0.5</v>
      </c>
      <c r="N198" s="4">
        <f>INDEX(products!$A$1:$G$49,MATCH(orders!$D198,products!$A$1:$A$49,0),MATCH(orders!N$1,products!$A$1:$G$1,0))</f>
        <v>8.91</v>
      </c>
      <c r="O198" s="13">
        <f t="shared" si="15"/>
        <v>53.46</v>
      </c>
      <c r="P198" s="13">
        <f>_xlfn.XLOOKUP(Orders[[#This Row],[Product ID]],products!$A$1:$A$49,products!$G$1:$G$49,,0)</f>
        <v>0.98009999999999997</v>
      </c>
      <c r="Q198" s="13">
        <f t="shared" si="16"/>
        <v>5.8805999999999994</v>
      </c>
      <c r="R198" t="str">
        <f t="shared" si="18"/>
        <v>Execelsa</v>
      </c>
      <c r="S198" t="str">
        <f t="shared" si="19"/>
        <v>Light</v>
      </c>
      <c r="T198" t="str">
        <f>_xlfn.XLOOKUP(Orders[[#This Row],[Customer ID]],customers!$A$1:$A$1001,customers!$I$1:$I$1001,,0)</f>
        <v>No</v>
      </c>
    </row>
    <row r="199" spans="1:20" x14ac:dyDescent="0.35">
      <c r="A199" s="2" t="s">
        <v>1596</v>
      </c>
      <c r="B199" s="3">
        <v>44339</v>
      </c>
      <c r="C199" s="2" t="s">
        <v>1597</v>
      </c>
      <c r="D199" t="s">
        <v>6165</v>
      </c>
      <c r="E199" t="str">
        <f t="shared" si="17"/>
        <v>Liberica-Dark-2.5</v>
      </c>
      <c r="F199" s="2">
        <v>2</v>
      </c>
      <c r="G199" s="2" t="str" cm="1">
        <f t="array" ref="G199">_xlfn.XLOOKUP(C199, customers!$A$1:A1198,customers!$B$1:B1198,,0)</f>
        <v>Nealson Cuttler</v>
      </c>
      <c r="H199" s="2" t="str" cm="1">
        <f t="array" ref="H199">IF(_xlfn.XLOOKUP(C199,customers!$A$1:A1198,customers!$C$1:C1198,,0) = 0,"", _xlfn.XLOOKUP(C199,customers!$A$1:A1198,customers!$C$1:C1198,,0))</f>
        <v>ncuttler5g@parallels.com</v>
      </c>
      <c r="I199" s="2" t="str">
        <f>_xlfn.XLOOKUP(C199,customers!$A$1:$A$1001,customers!$G$1:$G$1001,,0)</f>
        <v>United States</v>
      </c>
      <c r="J199" s="2" t="str">
        <f>_xlfn.XLOOKUP(Orders[[#This Row],[Customer ID]],customers!$A$1:$A$1001,customers!$F$1:$F$1001,,0)</f>
        <v>Washington</v>
      </c>
      <c r="K199" t="str">
        <f>INDEX(products!$A$1:$G$49,MATCH(orders!$D199,products!$A$1:$A$49,0),MATCH(orders!K$1,products!$A$1:$G$1,0))</f>
        <v>Lib</v>
      </c>
      <c r="L199" t="str">
        <f>INDEX(products!$A$1:$G$49,MATCH(orders!$D199,products!$A$1:$A$49,0),MATCH(orders!L$1,products!$A$1:$G$1,0))</f>
        <v>D</v>
      </c>
      <c r="M199" s="14">
        <f>INDEX(products!$A$1:$G$49,MATCH(orders!$D199,products!$A$1:$A$49,0),MATCH(orders!M$1,products!$A$1:$G$1,0))</f>
        <v>2.5</v>
      </c>
      <c r="N199" s="4">
        <f>INDEX(products!$A$1:$G$49,MATCH(orders!$D199,products!$A$1:$A$49,0),MATCH(orders!N$1,products!$A$1:$G$1,0))</f>
        <v>29.784999999999997</v>
      </c>
      <c r="O199" s="13">
        <f t="shared" si="15"/>
        <v>59.569999999999993</v>
      </c>
      <c r="P199" s="13">
        <f>_xlfn.XLOOKUP(Orders[[#This Row],[Product ID]],products!$A$1:$A$49,products!$G$1:$G$49,,0)</f>
        <v>3.8720499999999998</v>
      </c>
      <c r="Q199" s="13">
        <f t="shared" si="16"/>
        <v>7.7440999999999995</v>
      </c>
      <c r="R199" t="str">
        <f t="shared" si="18"/>
        <v>Liberica</v>
      </c>
      <c r="S199" t="str">
        <f t="shared" si="19"/>
        <v>Dark</v>
      </c>
      <c r="T199" t="str">
        <f>_xlfn.XLOOKUP(Orders[[#This Row],[Customer ID]],customers!$A$1:$A$1001,customers!$I$1:$I$1001,,0)</f>
        <v>No</v>
      </c>
    </row>
    <row r="200" spans="1:20" x14ac:dyDescent="0.35">
      <c r="A200" s="2" t="s">
        <v>1596</v>
      </c>
      <c r="B200" s="3">
        <v>44339</v>
      </c>
      <c r="C200" s="2" t="s">
        <v>1597</v>
      </c>
      <c r="D200" t="s">
        <v>6165</v>
      </c>
      <c r="E200" t="str">
        <f t="shared" si="17"/>
        <v>Liberica-Dark-2.5</v>
      </c>
      <c r="F200" s="2">
        <v>3</v>
      </c>
      <c r="G200" s="2" t="str" cm="1">
        <f t="array" ref="G200">_xlfn.XLOOKUP(C200, customers!$A$1:A1199,customers!$B$1:B1199,,0)</f>
        <v>Nealson Cuttler</v>
      </c>
      <c r="H200" s="2" t="str" cm="1">
        <f t="array" ref="H200">IF(_xlfn.XLOOKUP(C200,customers!$A$1:A1199,customers!$C$1:C1199,,0) = 0,"", _xlfn.XLOOKUP(C200,customers!$A$1:A1199,customers!$C$1:C1199,,0))</f>
        <v>ncuttler5g@parallels.com</v>
      </c>
      <c r="I200" s="2" t="str">
        <f>_xlfn.XLOOKUP(C200,customers!$A$1:$A$1001,customers!$G$1:$G$1001,,0)</f>
        <v>United States</v>
      </c>
      <c r="J200" s="2" t="str">
        <f>_xlfn.XLOOKUP(Orders[[#This Row],[Customer ID]],customers!$A$1:$A$1001,customers!$F$1:$F$1001,,0)</f>
        <v>Washington</v>
      </c>
      <c r="K200" t="str">
        <f>INDEX(products!$A$1:$G$49,MATCH(orders!$D200,products!$A$1:$A$49,0),MATCH(orders!K$1,products!$A$1:$G$1,0))</f>
        <v>Lib</v>
      </c>
      <c r="L200" t="str">
        <f>INDEX(products!$A$1:$G$49,MATCH(orders!$D200,products!$A$1:$A$49,0),MATCH(orders!L$1,products!$A$1:$G$1,0))</f>
        <v>D</v>
      </c>
      <c r="M200" s="14">
        <f>INDEX(products!$A$1:$G$49,MATCH(orders!$D200,products!$A$1:$A$49,0),MATCH(orders!M$1,products!$A$1:$G$1,0))</f>
        <v>2.5</v>
      </c>
      <c r="N200" s="4">
        <f>INDEX(products!$A$1:$G$49,MATCH(orders!$D200,products!$A$1:$A$49,0),MATCH(orders!N$1,products!$A$1:$G$1,0))</f>
        <v>29.784999999999997</v>
      </c>
      <c r="O200" s="13">
        <f t="shared" si="15"/>
        <v>89.35499999999999</v>
      </c>
      <c r="P200" s="13">
        <f>_xlfn.XLOOKUP(Orders[[#This Row],[Product ID]],products!$A$1:$A$49,products!$G$1:$G$49,,0)</f>
        <v>3.8720499999999998</v>
      </c>
      <c r="Q200" s="13">
        <f t="shared" si="16"/>
        <v>11.616149999999999</v>
      </c>
      <c r="R200" t="str">
        <f t="shared" si="18"/>
        <v>Liberica</v>
      </c>
      <c r="S200" t="str">
        <f t="shared" si="19"/>
        <v>Dark</v>
      </c>
      <c r="T200" t="str">
        <f>_xlfn.XLOOKUP(Orders[[#This Row],[Customer ID]],customers!$A$1:$A$1001,customers!$I$1:$I$1001,,0)</f>
        <v>No</v>
      </c>
    </row>
    <row r="201" spans="1:20" x14ac:dyDescent="0.35">
      <c r="A201" s="2" t="s">
        <v>1596</v>
      </c>
      <c r="B201" s="3">
        <v>44339</v>
      </c>
      <c r="C201" s="2" t="s">
        <v>1597</v>
      </c>
      <c r="D201" t="s">
        <v>6161</v>
      </c>
      <c r="E201" t="str">
        <f t="shared" si="17"/>
        <v>Liberica-Light-0.5</v>
      </c>
      <c r="F201" s="2">
        <v>4</v>
      </c>
      <c r="G201" s="2" t="str" cm="1">
        <f t="array" ref="G201">_xlfn.XLOOKUP(C201, customers!$A$1:A1200,customers!$B$1:B1200,,0)</f>
        <v>Nealson Cuttler</v>
      </c>
      <c r="H201" s="2" t="str" cm="1">
        <f t="array" ref="H201">IF(_xlfn.XLOOKUP(C201,customers!$A$1:A1200,customers!$C$1:C1200,,0) = 0,"", _xlfn.XLOOKUP(C201,customers!$A$1:A1200,customers!$C$1:C1200,,0))</f>
        <v>ncuttler5g@parallels.com</v>
      </c>
      <c r="I201" s="2" t="str">
        <f>_xlfn.XLOOKUP(C201,customers!$A$1:$A$1001,customers!$G$1:$G$1001,,0)</f>
        <v>United States</v>
      </c>
      <c r="J201" s="2" t="str">
        <f>_xlfn.XLOOKUP(Orders[[#This Row],[Customer ID]],customers!$A$1:$A$1001,customers!$F$1:$F$1001,,0)</f>
        <v>Washington</v>
      </c>
      <c r="K201" t="str">
        <f>INDEX(products!$A$1:$G$49,MATCH(orders!$D201,products!$A$1:$A$49,0),MATCH(orders!K$1,products!$A$1:$G$1,0))</f>
        <v>Lib</v>
      </c>
      <c r="L201" t="str">
        <f>INDEX(products!$A$1:$G$49,MATCH(orders!$D201,products!$A$1:$A$49,0),MATCH(orders!L$1,products!$A$1:$G$1,0))</f>
        <v>L</v>
      </c>
      <c r="M201" s="14">
        <f>INDEX(products!$A$1:$G$49,MATCH(orders!$D201,products!$A$1:$A$49,0),MATCH(orders!M$1,products!$A$1:$G$1,0))</f>
        <v>0.5</v>
      </c>
      <c r="N201" s="4">
        <f>INDEX(products!$A$1:$G$49,MATCH(orders!$D201,products!$A$1:$A$49,0),MATCH(orders!N$1,products!$A$1:$G$1,0))</f>
        <v>9.51</v>
      </c>
      <c r="O201" s="13">
        <f t="shared" si="15"/>
        <v>38.04</v>
      </c>
      <c r="P201" s="13">
        <f>_xlfn.XLOOKUP(Orders[[#This Row],[Product ID]],products!$A$1:$A$49,products!$G$1:$G$49,,0)</f>
        <v>1.2363</v>
      </c>
      <c r="Q201" s="13">
        <f t="shared" si="16"/>
        <v>4.9451999999999998</v>
      </c>
      <c r="R201" t="str">
        <f t="shared" si="18"/>
        <v>Liberica</v>
      </c>
      <c r="S201" t="str">
        <f t="shared" si="19"/>
        <v>Light</v>
      </c>
      <c r="T201" t="str">
        <f>_xlfn.XLOOKUP(Orders[[#This Row],[Customer ID]],customers!$A$1:$A$1001,customers!$I$1:$I$1001,,0)</f>
        <v>No</v>
      </c>
    </row>
    <row r="202" spans="1:20" x14ac:dyDescent="0.35">
      <c r="A202" s="2" t="s">
        <v>1596</v>
      </c>
      <c r="B202" s="3">
        <v>44339</v>
      </c>
      <c r="C202" s="2" t="s">
        <v>1597</v>
      </c>
      <c r="D202" t="s">
        <v>6141</v>
      </c>
      <c r="E202" t="str">
        <f t="shared" si="17"/>
        <v>Excelsa-Medium-1</v>
      </c>
      <c r="F202" s="2">
        <v>3</v>
      </c>
      <c r="G202" s="2" t="str" cm="1">
        <f t="array" ref="G202">_xlfn.XLOOKUP(C202, customers!$A$1:A1201,customers!$B$1:B1201,,0)</f>
        <v>Nealson Cuttler</v>
      </c>
      <c r="H202" s="2" t="str" cm="1">
        <f t="array" ref="H202">IF(_xlfn.XLOOKUP(C202,customers!$A$1:A1201,customers!$C$1:C1201,,0) = 0,"", _xlfn.XLOOKUP(C202,customers!$A$1:A1201,customers!$C$1:C1201,,0))</f>
        <v>ncuttler5g@parallels.com</v>
      </c>
      <c r="I202" s="2" t="str">
        <f>_xlfn.XLOOKUP(C202,customers!$A$1:$A$1001,customers!$G$1:$G$1001,,0)</f>
        <v>United States</v>
      </c>
      <c r="J202" s="2" t="str">
        <f>_xlfn.XLOOKUP(Orders[[#This Row],[Customer ID]],customers!$A$1:$A$1001,customers!$F$1:$F$1001,,0)</f>
        <v>Washington</v>
      </c>
      <c r="K202" t="str">
        <f>INDEX(products!$A$1:$G$49,MATCH(orders!$D202,products!$A$1:$A$49,0),MATCH(orders!K$1,products!$A$1:$G$1,0))</f>
        <v>Exc</v>
      </c>
      <c r="L202" t="str">
        <f>INDEX(products!$A$1:$G$49,MATCH(orders!$D202,products!$A$1:$A$49,0),MATCH(orders!L$1,products!$A$1:$G$1,0))</f>
        <v>M</v>
      </c>
      <c r="M202" s="14">
        <f>INDEX(products!$A$1:$G$49,MATCH(orders!$D202,products!$A$1:$A$49,0),MATCH(orders!M$1,products!$A$1:$G$1,0))</f>
        <v>1</v>
      </c>
      <c r="N202" s="4">
        <f>INDEX(products!$A$1:$G$49,MATCH(orders!$D202,products!$A$1:$A$49,0),MATCH(orders!N$1,products!$A$1:$G$1,0))</f>
        <v>13.75</v>
      </c>
      <c r="O202" s="13">
        <f t="shared" si="15"/>
        <v>41.25</v>
      </c>
      <c r="P202" s="13">
        <f>_xlfn.XLOOKUP(Orders[[#This Row],[Product ID]],products!$A$1:$A$49,products!$G$1:$G$49,,0)</f>
        <v>1.5125</v>
      </c>
      <c r="Q202" s="13">
        <f t="shared" si="16"/>
        <v>4.5374999999999996</v>
      </c>
      <c r="R202" t="str">
        <f t="shared" si="18"/>
        <v>Execelsa</v>
      </c>
      <c r="S202" t="str">
        <f t="shared" si="19"/>
        <v>Medium</v>
      </c>
      <c r="T202" t="str">
        <f>_xlfn.XLOOKUP(Orders[[#This Row],[Customer ID]],customers!$A$1:$A$1001,customers!$I$1:$I$1001,,0)</f>
        <v>No</v>
      </c>
    </row>
    <row r="203" spans="1:20" x14ac:dyDescent="0.35">
      <c r="A203" s="2" t="s">
        <v>1621</v>
      </c>
      <c r="B203" s="3">
        <v>44294</v>
      </c>
      <c r="C203" s="2" t="s">
        <v>1622</v>
      </c>
      <c r="D203" t="s">
        <v>6161</v>
      </c>
      <c r="E203" t="str">
        <f t="shared" si="17"/>
        <v>Liberica-Light-0.5</v>
      </c>
      <c r="F203" s="2">
        <v>6</v>
      </c>
      <c r="G203" s="2" t="str" cm="1">
        <f t="array" ref="G203">_xlfn.XLOOKUP(C203, customers!$A$1:A1202,customers!$B$1:B1202,,0)</f>
        <v>Adriana Lazarus</v>
      </c>
      <c r="H203" s="2" t="str" cm="1">
        <f t="array" ref="H203">IF(_xlfn.XLOOKUP(C203,customers!$A$1:A1202,customers!$C$1:C1202,,0) = 0,"", _xlfn.XLOOKUP(C203,customers!$A$1:A1202,customers!$C$1:C1202,,0))</f>
        <v/>
      </c>
      <c r="I203" s="2" t="str">
        <f>_xlfn.XLOOKUP(C203,customers!$A$1:$A$1001,customers!$G$1:$G$1001,,0)</f>
        <v>United States</v>
      </c>
      <c r="J203" s="2" t="str">
        <f>_xlfn.XLOOKUP(Orders[[#This Row],[Customer ID]],customers!$A$1:$A$1001,customers!$F$1:$F$1001,,0)</f>
        <v>Ogden</v>
      </c>
      <c r="K203" t="str">
        <f>INDEX(products!$A$1:$G$49,MATCH(orders!$D203,products!$A$1:$A$49,0),MATCH(orders!K$1,products!$A$1:$G$1,0))</f>
        <v>Lib</v>
      </c>
      <c r="L203" t="str">
        <f>INDEX(products!$A$1:$G$49,MATCH(orders!$D203,products!$A$1:$A$49,0),MATCH(orders!L$1,products!$A$1:$G$1,0))</f>
        <v>L</v>
      </c>
      <c r="M203" s="14">
        <f>INDEX(products!$A$1:$G$49,MATCH(orders!$D203,products!$A$1:$A$49,0),MATCH(orders!M$1,products!$A$1:$G$1,0))</f>
        <v>0.5</v>
      </c>
      <c r="N203" s="4">
        <f>INDEX(products!$A$1:$G$49,MATCH(orders!$D203,products!$A$1:$A$49,0),MATCH(orders!N$1,products!$A$1:$G$1,0))</f>
        <v>9.51</v>
      </c>
      <c r="O203" s="13">
        <f t="shared" si="15"/>
        <v>57.06</v>
      </c>
      <c r="P203" s="13">
        <f>_xlfn.XLOOKUP(Orders[[#This Row],[Product ID]],products!$A$1:$A$49,products!$G$1:$G$49,,0)</f>
        <v>1.2363</v>
      </c>
      <c r="Q203" s="13">
        <f t="shared" si="16"/>
        <v>7.4177999999999997</v>
      </c>
      <c r="R203" t="str">
        <f t="shared" si="18"/>
        <v>Liberica</v>
      </c>
      <c r="S203" t="str">
        <f t="shared" si="19"/>
        <v>Light</v>
      </c>
      <c r="T203" t="str">
        <f>_xlfn.XLOOKUP(Orders[[#This Row],[Customer ID]],customers!$A$1:$A$1001,customers!$I$1:$I$1001,,0)</f>
        <v>No</v>
      </c>
    </row>
    <row r="204" spans="1:20" x14ac:dyDescent="0.35">
      <c r="A204" s="2" t="s">
        <v>1626</v>
      </c>
      <c r="B204" s="3">
        <v>44486</v>
      </c>
      <c r="C204" s="2" t="s">
        <v>1627</v>
      </c>
      <c r="D204" t="s">
        <v>6165</v>
      </c>
      <c r="E204" t="str">
        <f t="shared" si="17"/>
        <v>Liberica-Dark-2.5</v>
      </c>
      <c r="F204" s="2">
        <v>6</v>
      </c>
      <c r="G204" s="2" t="str" cm="1">
        <f t="array" ref="G204">_xlfn.XLOOKUP(C204, customers!$A$1:A1203,customers!$B$1:B1203,,0)</f>
        <v>Tallie felip</v>
      </c>
      <c r="H204" s="2" t="str" cm="1">
        <f t="array" ref="H204">IF(_xlfn.XLOOKUP(C204,customers!$A$1:A1203,customers!$C$1:C1203,,0) = 0,"", _xlfn.XLOOKUP(C204,customers!$A$1:A1203,customers!$C$1:C1203,,0))</f>
        <v>tfelip5m@typepad.com</v>
      </c>
      <c r="I204" s="2" t="str">
        <f>_xlfn.XLOOKUP(C204,customers!$A$1:$A$1001,customers!$G$1:$G$1001,,0)</f>
        <v>United States</v>
      </c>
      <c r="J204" s="2" t="str">
        <f>_xlfn.XLOOKUP(Orders[[#This Row],[Customer ID]],customers!$A$1:$A$1001,customers!$F$1:$F$1001,,0)</f>
        <v>Albany</v>
      </c>
      <c r="K204" t="str">
        <f>INDEX(products!$A$1:$G$49,MATCH(orders!$D204,products!$A$1:$A$49,0),MATCH(orders!K$1,products!$A$1:$G$1,0))</f>
        <v>Lib</v>
      </c>
      <c r="L204" t="str">
        <f>INDEX(products!$A$1:$G$49,MATCH(orders!$D204,products!$A$1:$A$49,0),MATCH(orders!L$1,products!$A$1:$G$1,0))</f>
        <v>D</v>
      </c>
      <c r="M204" s="14">
        <f>INDEX(products!$A$1:$G$49,MATCH(orders!$D204,products!$A$1:$A$49,0),MATCH(orders!M$1,products!$A$1:$G$1,0))</f>
        <v>2.5</v>
      </c>
      <c r="N204" s="4">
        <f>INDEX(products!$A$1:$G$49,MATCH(orders!$D204,products!$A$1:$A$49,0),MATCH(orders!N$1,products!$A$1:$G$1,0))</f>
        <v>29.784999999999997</v>
      </c>
      <c r="O204" s="13">
        <f t="shared" si="15"/>
        <v>178.70999999999998</v>
      </c>
      <c r="P204" s="13">
        <f>_xlfn.XLOOKUP(Orders[[#This Row],[Product ID]],products!$A$1:$A$49,products!$G$1:$G$49,,0)</f>
        <v>3.8720499999999998</v>
      </c>
      <c r="Q204" s="13">
        <f t="shared" si="16"/>
        <v>23.232299999999999</v>
      </c>
      <c r="R204" t="str">
        <f t="shared" si="18"/>
        <v>Liberica</v>
      </c>
      <c r="S204" t="str">
        <f t="shared" si="19"/>
        <v>Dark</v>
      </c>
      <c r="T204" t="str">
        <f>_xlfn.XLOOKUP(Orders[[#This Row],[Customer ID]],customers!$A$1:$A$1001,customers!$I$1:$I$1001,,0)</f>
        <v>Yes</v>
      </c>
    </row>
    <row r="205" spans="1:20" x14ac:dyDescent="0.35">
      <c r="A205" s="2" t="s">
        <v>1632</v>
      </c>
      <c r="B205" s="3">
        <v>44608</v>
      </c>
      <c r="C205" s="2" t="s">
        <v>1633</v>
      </c>
      <c r="D205" t="s">
        <v>6145</v>
      </c>
      <c r="E205" t="str">
        <f t="shared" si="17"/>
        <v>Liberica-Light-0.2</v>
      </c>
      <c r="F205" s="2">
        <v>1</v>
      </c>
      <c r="G205" s="2" t="str" cm="1">
        <f t="array" ref="G205">_xlfn.XLOOKUP(C205, customers!$A$1:A1204,customers!$B$1:B1204,,0)</f>
        <v>Vanna Le - Count</v>
      </c>
      <c r="H205" s="2" t="str" cm="1">
        <f t="array" ref="H205">IF(_xlfn.XLOOKUP(C205,customers!$A$1:A1204,customers!$C$1:C1204,,0) = 0,"", _xlfn.XLOOKUP(C205,customers!$A$1:A1204,customers!$C$1:C1204,,0))</f>
        <v>vle5n@disqus.com</v>
      </c>
      <c r="I205" s="2" t="str">
        <f>_xlfn.XLOOKUP(C205,customers!$A$1:$A$1001,customers!$G$1:$G$1001,,0)</f>
        <v>United States</v>
      </c>
      <c r="J205" s="2" t="str">
        <f>_xlfn.XLOOKUP(Orders[[#This Row],[Customer ID]],customers!$A$1:$A$1001,customers!$F$1:$F$1001,,0)</f>
        <v>Spartanburg</v>
      </c>
      <c r="K205" t="str">
        <f>INDEX(products!$A$1:$G$49,MATCH(orders!$D205,products!$A$1:$A$49,0),MATCH(orders!K$1,products!$A$1:$G$1,0))</f>
        <v>Lib</v>
      </c>
      <c r="L205" t="str">
        <f>INDEX(products!$A$1:$G$49,MATCH(orders!$D205,products!$A$1:$A$49,0),MATCH(orders!L$1,products!$A$1:$G$1,0))</f>
        <v>L</v>
      </c>
      <c r="M205" s="14">
        <f>INDEX(products!$A$1:$G$49,MATCH(orders!$D205,products!$A$1:$A$49,0),MATCH(orders!M$1,products!$A$1:$G$1,0))</f>
        <v>0.2</v>
      </c>
      <c r="N205" s="4">
        <f>INDEX(products!$A$1:$G$49,MATCH(orders!$D205,products!$A$1:$A$49,0),MATCH(orders!N$1,products!$A$1:$G$1,0))</f>
        <v>4.7549999999999999</v>
      </c>
      <c r="O205" s="13">
        <f t="shared" si="15"/>
        <v>4.7549999999999999</v>
      </c>
      <c r="P205" s="13">
        <f>_xlfn.XLOOKUP(Orders[[#This Row],[Product ID]],products!$A$1:$A$49,products!$G$1:$G$49,,0)</f>
        <v>0.61814999999999998</v>
      </c>
      <c r="Q205" s="13">
        <f t="shared" si="16"/>
        <v>0.61814999999999998</v>
      </c>
      <c r="R205" t="str">
        <f t="shared" si="18"/>
        <v>Liberica</v>
      </c>
      <c r="S205" t="str">
        <f t="shared" si="19"/>
        <v>Light</v>
      </c>
      <c r="T205" t="str">
        <f>_xlfn.XLOOKUP(Orders[[#This Row],[Customer ID]],customers!$A$1:$A$1001,customers!$I$1:$I$1001,,0)</f>
        <v>No</v>
      </c>
    </row>
    <row r="206" spans="1:20" x14ac:dyDescent="0.35">
      <c r="A206" s="2" t="s">
        <v>1638</v>
      </c>
      <c r="B206" s="3">
        <v>44027</v>
      </c>
      <c r="C206" s="2" t="s">
        <v>1639</v>
      </c>
      <c r="D206" t="s">
        <v>6141</v>
      </c>
      <c r="E206" t="str">
        <f t="shared" si="17"/>
        <v>Excelsa-Medium-1</v>
      </c>
      <c r="F206" s="2">
        <v>6</v>
      </c>
      <c r="G206" s="2" t="str" cm="1">
        <f t="array" ref="G206">_xlfn.XLOOKUP(C206, customers!$A$1:A1205,customers!$B$1:B1205,,0)</f>
        <v>Sarette Ducarel</v>
      </c>
      <c r="H206" s="2" t="str" cm="1">
        <f t="array" ref="H206">IF(_xlfn.XLOOKUP(C206,customers!$A$1:A1205,customers!$C$1:C1205,,0) = 0,"", _xlfn.XLOOKUP(C206,customers!$A$1:A1205,customers!$C$1:C1205,,0))</f>
        <v/>
      </c>
      <c r="I206" s="2" t="str">
        <f>_xlfn.XLOOKUP(C206,customers!$A$1:$A$1001,customers!$G$1:$G$1001,,0)</f>
        <v>United States</v>
      </c>
      <c r="J206" s="2" t="str">
        <f>_xlfn.XLOOKUP(Orders[[#This Row],[Customer ID]],customers!$A$1:$A$1001,customers!$F$1:$F$1001,,0)</f>
        <v>Staten Island</v>
      </c>
      <c r="K206" t="str">
        <f>INDEX(products!$A$1:$G$49,MATCH(orders!$D206,products!$A$1:$A$49,0),MATCH(orders!K$1,products!$A$1:$G$1,0))</f>
        <v>Exc</v>
      </c>
      <c r="L206" t="str">
        <f>INDEX(products!$A$1:$G$49,MATCH(orders!$D206,products!$A$1:$A$49,0),MATCH(orders!L$1,products!$A$1:$G$1,0))</f>
        <v>M</v>
      </c>
      <c r="M206" s="14">
        <f>INDEX(products!$A$1:$G$49,MATCH(orders!$D206,products!$A$1:$A$49,0),MATCH(orders!M$1,products!$A$1:$G$1,0))</f>
        <v>1</v>
      </c>
      <c r="N206" s="4">
        <f>INDEX(products!$A$1:$G$49,MATCH(orders!$D206,products!$A$1:$A$49,0),MATCH(orders!N$1,products!$A$1:$G$1,0))</f>
        <v>13.75</v>
      </c>
      <c r="O206" s="13">
        <f t="shared" si="15"/>
        <v>82.5</v>
      </c>
      <c r="P206" s="13">
        <f>_xlfn.XLOOKUP(Orders[[#This Row],[Product ID]],products!$A$1:$A$49,products!$G$1:$G$49,,0)</f>
        <v>1.5125</v>
      </c>
      <c r="Q206" s="13">
        <f t="shared" si="16"/>
        <v>9.0749999999999993</v>
      </c>
      <c r="R206" t="str">
        <f t="shared" si="18"/>
        <v>Execelsa</v>
      </c>
      <c r="S206" t="str">
        <f t="shared" si="19"/>
        <v>Medium</v>
      </c>
      <c r="T206" t="str">
        <f>_xlfn.XLOOKUP(Orders[[#This Row],[Customer ID]],customers!$A$1:$A$1001,customers!$I$1:$I$1001,,0)</f>
        <v>No</v>
      </c>
    </row>
    <row r="207" spans="1:20" x14ac:dyDescent="0.35">
      <c r="A207" s="2" t="s">
        <v>1643</v>
      </c>
      <c r="B207" s="3">
        <v>43883</v>
      </c>
      <c r="C207" s="2" t="s">
        <v>1644</v>
      </c>
      <c r="D207" t="s">
        <v>6163</v>
      </c>
      <c r="E207" t="str">
        <f t="shared" si="17"/>
        <v>Robusta-Dark-0.2</v>
      </c>
      <c r="F207" s="2">
        <v>3</v>
      </c>
      <c r="G207" s="2" t="str" cm="1">
        <f t="array" ref="G207">_xlfn.XLOOKUP(C207, customers!$A$1:A1206,customers!$B$1:B1206,,0)</f>
        <v>Kendra Glison</v>
      </c>
      <c r="H207" s="2" t="str" cm="1">
        <f t="array" ref="H207">IF(_xlfn.XLOOKUP(C207,customers!$A$1:A1206,customers!$C$1:C1206,,0) = 0,"", _xlfn.XLOOKUP(C207,customers!$A$1:A1206,customers!$C$1:C1206,,0))</f>
        <v/>
      </c>
      <c r="I207" s="2" t="str">
        <f>_xlfn.XLOOKUP(C207,customers!$A$1:$A$1001,customers!$G$1:$G$1001,,0)</f>
        <v>United States</v>
      </c>
      <c r="J207" s="2" t="str">
        <f>_xlfn.XLOOKUP(Orders[[#This Row],[Customer ID]],customers!$A$1:$A$1001,customers!$F$1:$F$1001,,0)</f>
        <v>Washington</v>
      </c>
      <c r="K207" t="str">
        <f>INDEX(products!$A$1:$G$49,MATCH(orders!$D207,products!$A$1:$A$49,0),MATCH(orders!K$1,products!$A$1:$G$1,0))</f>
        <v>Rob</v>
      </c>
      <c r="L207" t="str">
        <f>INDEX(products!$A$1:$G$49,MATCH(orders!$D207,products!$A$1:$A$49,0),MATCH(orders!L$1,products!$A$1:$G$1,0))</f>
        <v>D</v>
      </c>
      <c r="M207" s="14">
        <f>INDEX(products!$A$1:$G$49,MATCH(orders!$D207,products!$A$1:$A$49,0),MATCH(orders!M$1,products!$A$1:$G$1,0))</f>
        <v>0.2</v>
      </c>
      <c r="N207" s="4">
        <f>INDEX(products!$A$1:$G$49,MATCH(orders!$D207,products!$A$1:$A$49,0),MATCH(orders!N$1,products!$A$1:$G$1,0))</f>
        <v>2.6849999999999996</v>
      </c>
      <c r="O207" s="13">
        <f t="shared" si="15"/>
        <v>8.0549999999999997</v>
      </c>
      <c r="P207" s="13">
        <f>_xlfn.XLOOKUP(Orders[[#This Row],[Product ID]],products!$A$1:$A$49,products!$G$1:$G$49,,0)</f>
        <v>0.16109999999999997</v>
      </c>
      <c r="Q207" s="13">
        <f t="shared" si="16"/>
        <v>0.4832999999999999</v>
      </c>
      <c r="R207" t="str">
        <f t="shared" si="18"/>
        <v>Robusta</v>
      </c>
      <c r="S207" t="str">
        <f t="shared" si="19"/>
        <v>Dark</v>
      </c>
      <c r="T207" t="str">
        <f>_xlfn.XLOOKUP(Orders[[#This Row],[Customer ID]],customers!$A$1:$A$1001,customers!$I$1:$I$1001,,0)</f>
        <v>Yes</v>
      </c>
    </row>
    <row r="208" spans="1:20" x14ac:dyDescent="0.35">
      <c r="A208" s="2" t="s">
        <v>1648</v>
      </c>
      <c r="B208" s="3">
        <v>44211</v>
      </c>
      <c r="C208" s="2" t="s">
        <v>1649</v>
      </c>
      <c r="D208" t="s">
        <v>6155</v>
      </c>
      <c r="E208" t="str">
        <f t="shared" si="17"/>
        <v>Arabica-Medium-1</v>
      </c>
      <c r="F208" s="2">
        <v>2</v>
      </c>
      <c r="G208" s="2" t="str" cm="1">
        <f t="array" ref="G208">_xlfn.XLOOKUP(C208, customers!$A$1:A1207,customers!$B$1:B1207,,0)</f>
        <v>Nertie Poolman</v>
      </c>
      <c r="H208" s="2" t="str" cm="1">
        <f t="array" ref="H208">IF(_xlfn.XLOOKUP(C208,customers!$A$1:A1207,customers!$C$1:C1207,,0) = 0,"", _xlfn.XLOOKUP(C208,customers!$A$1:A1207,customers!$C$1:C1207,,0))</f>
        <v>npoolman5q@howstuffworks.com</v>
      </c>
      <c r="I208" s="2" t="str">
        <f>_xlfn.XLOOKUP(C208,customers!$A$1:$A$1001,customers!$G$1:$G$1001,,0)</f>
        <v>United States</v>
      </c>
      <c r="J208" s="2" t="str">
        <f>_xlfn.XLOOKUP(Orders[[#This Row],[Customer ID]],customers!$A$1:$A$1001,customers!$F$1:$F$1001,,0)</f>
        <v>Charlotte</v>
      </c>
      <c r="K208" t="str">
        <f>INDEX(products!$A$1:$G$49,MATCH(orders!$D208,products!$A$1:$A$49,0),MATCH(orders!K$1,products!$A$1:$G$1,0))</f>
        <v>Ara</v>
      </c>
      <c r="L208" t="str">
        <f>INDEX(products!$A$1:$G$49,MATCH(orders!$D208,products!$A$1:$A$49,0),MATCH(orders!L$1,products!$A$1:$G$1,0))</f>
        <v>M</v>
      </c>
      <c r="M208" s="14">
        <f>INDEX(products!$A$1:$G$49,MATCH(orders!$D208,products!$A$1:$A$49,0),MATCH(orders!M$1,products!$A$1:$G$1,0))</f>
        <v>1</v>
      </c>
      <c r="N208" s="4">
        <f>INDEX(products!$A$1:$G$49,MATCH(orders!$D208,products!$A$1:$A$49,0),MATCH(orders!N$1,products!$A$1:$G$1,0))</f>
        <v>11.25</v>
      </c>
      <c r="O208" s="13">
        <f t="shared" si="15"/>
        <v>22.5</v>
      </c>
      <c r="P208" s="13">
        <f>_xlfn.XLOOKUP(Orders[[#This Row],[Product ID]],products!$A$1:$A$49,products!$G$1:$G$49,,0)</f>
        <v>1.0125</v>
      </c>
      <c r="Q208" s="13">
        <f t="shared" si="16"/>
        <v>2.0249999999999999</v>
      </c>
      <c r="R208" t="str">
        <f t="shared" si="18"/>
        <v>Arabica</v>
      </c>
      <c r="S208" t="str">
        <f t="shared" si="19"/>
        <v>Medium</v>
      </c>
      <c r="T208" t="str">
        <f>_xlfn.XLOOKUP(Orders[[#This Row],[Customer ID]],customers!$A$1:$A$1001,customers!$I$1:$I$1001,,0)</f>
        <v>No</v>
      </c>
    </row>
    <row r="209" spans="1:20" x14ac:dyDescent="0.35">
      <c r="A209" s="2" t="s">
        <v>1653</v>
      </c>
      <c r="B209" s="3">
        <v>44207</v>
      </c>
      <c r="C209" s="2" t="s">
        <v>1654</v>
      </c>
      <c r="D209" t="s">
        <v>6157</v>
      </c>
      <c r="E209" t="str">
        <f t="shared" si="17"/>
        <v>Arabica-Medium-0.5</v>
      </c>
      <c r="F209" s="2">
        <v>6</v>
      </c>
      <c r="G209" s="2" t="str" cm="1">
        <f t="array" ref="G209">_xlfn.XLOOKUP(C209, customers!$A$1:A1208,customers!$B$1:B1208,,0)</f>
        <v>Orbadiah Duny</v>
      </c>
      <c r="H209" s="2" t="str" cm="1">
        <f t="array" ref="H209">IF(_xlfn.XLOOKUP(C209,customers!$A$1:A1208,customers!$C$1:C1208,,0) = 0,"", _xlfn.XLOOKUP(C209,customers!$A$1:A1208,customers!$C$1:C1208,,0))</f>
        <v>oduny5r@constantcontact.com</v>
      </c>
      <c r="I209" s="2" t="str">
        <f>_xlfn.XLOOKUP(C209,customers!$A$1:$A$1001,customers!$G$1:$G$1001,,0)</f>
        <v>United States</v>
      </c>
      <c r="J209" s="2" t="str">
        <f>_xlfn.XLOOKUP(Orders[[#This Row],[Customer ID]],customers!$A$1:$A$1001,customers!$F$1:$F$1001,,0)</f>
        <v>Lubbock</v>
      </c>
      <c r="K209" t="str">
        <f>INDEX(products!$A$1:$G$49,MATCH(orders!$D209,products!$A$1:$A$49,0),MATCH(orders!K$1,products!$A$1:$G$1,0))</f>
        <v>Ara</v>
      </c>
      <c r="L209" t="str">
        <f>INDEX(products!$A$1:$G$49,MATCH(orders!$D209,products!$A$1:$A$49,0),MATCH(orders!L$1,products!$A$1:$G$1,0))</f>
        <v>M</v>
      </c>
      <c r="M209" s="14">
        <f>INDEX(products!$A$1:$G$49,MATCH(orders!$D209,products!$A$1:$A$49,0),MATCH(orders!M$1,products!$A$1:$G$1,0))</f>
        <v>0.5</v>
      </c>
      <c r="N209" s="4">
        <f>INDEX(products!$A$1:$G$49,MATCH(orders!$D209,products!$A$1:$A$49,0),MATCH(orders!N$1,products!$A$1:$G$1,0))</f>
        <v>6.75</v>
      </c>
      <c r="O209" s="13">
        <f t="shared" si="15"/>
        <v>40.5</v>
      </c>
      <c r="P209" s="13">
        <f>_xlfn.XLOOKUP(Orders[[#This Row],[Product ID]],products!$A$1:$A$49,products!$G$1:$G$49,,0)</f>
        <v>0.60749999999999993</v>
      </c>
      <c r="Q209" s="13">
        <f t="shared" si="16"/>
        <v>3.6449999999999996</v>
      </c>
      <c r="R209" t="str">
        <f t="shared" si="18"/>
        <v>Arabica</v>
      </c>
      <c r="S209" t="str">
        <f t="shared" si="19"/>
        <v>Medium</v>
      </c>
      <c r="T209" t="str">
        <f>_xlfn.XLOOKUP(Orders[[#This Row],[Customer ID]],customers!$A$1:$A$1001,customers!$I$1:$I$1001,,0)</f>
        <v>Yes</v>
      </c>
    </row>
    <row r="210" spans="1:20" x14ac:dyDescent="0.35">
      <c r="A210" s="2" t="s">
        <v>1659</v>
      </c>
      <c r="B210" s="3">
        <v>44659</v>
      </c>
      <c r="C210" s="2" t="s">
        <v>1660</v>
      </c>
      <c r="D210" t="s">
        <v>6144</v>
      </c>
      <c r="E210" t="str">
        <f t="shared" si="17"/>
        <v>Excelsa-Dark-0.5</v>
      </c>
      <c r="F210" s="2">
        <v>4</v>
      </c>
      <c r="G210" s="2" t="str" cm="1">
        <f t="array" ref="G210">_xlfn.XLOOKUP(C210, customers!$A$1:A1209,customers!$B$1:B1209,,0)</f>
        <v>Constance Halfhide</v>
      </c>
      <c r="H210" s="2" t="str" cm="1">
        <f t="array" ref="H210">IF(_xlfn.XLOOKUP(C210,customers!$A$1:A1209,customers!$C$1:C1209,,0) = 0,"", _xlfn.XLOOKUP(C210,customers!$A$1:A1209,customers!$C$1:C1209,,0))</f>
        <v>chalfhide5s@google.ru</v>
      </c>
      <c r="I210" s="2" t="str">
        <f>_xlfn.XLOOKUP(C210,customers!$A$1:$A$1001,customers!$G$1:$G$1001,,0)</f>
        <v>Ireland</v>
      </c>
      <c r="J210" s="2" t="str">
        <f>_xlfn.XLOOKUP(Orders[[#This Row],[Customer ID]],customers!$A$1:$A$1001,customers!$F$1:$F$1001,,0)</f>
        <v>Fermoy</v>
      </c>
      <c r="K210" t="str">
        <f>INDEX(products!$A$1:$G$49,MATCH(orders!$D210,products!$A$1:$A$49,0),MATCH(orders!K$1,products!$A$1:$G$1,0))</f>
        <v>Exc</v>
      </c>
      <c r="L210" t="str">
        <f>INDEX(products!$A$1:$G$49,MATCH(orders!$D210,products!$A$1:$A$49,0),MATCH(orders!L$1,products!$A$1:$G$1,0))</f>
        <v>D</v>
      </c>
      <c r="M210" s="14">
        <f>INDEX(products!$A$1:$G$49,MATCH(orders!$D210,products!$A$1:$A$49,0),MATCH(orders!M$1,products!$A$1:$G$1,0))</f>
        <v>0.5</v>
      </c>
      <c r="N210" s="4">
        <f>INDEX(products!$A$1:$G$49,MATCH(orders!$D210,products!$A$1:$A$49,0),MATCH(orders!N$1,products!$A$1:$G$1,0))</f>
        <v>7.29</v>
      </c>
      <c r="O210" s="13">
        <f t="shared" si="15"/>
        <v>29.16</v>
      </c>
      <c r="P210" s="13">
        <f>_xlfn.XLOOKUP(Orders[[#This Row],[Product ID]],products!$A$1:$A$49,products!$G$1:$G$49,,0)</f>
        <v>0.80190000000000006</v>
      </c>
      <c r="Q210" s="13">
        <f t="shared" si="16"/>
        <v>3.2076000000000002</v>
      </c>
      <c r="R210" t="str">
        <f t="shared" si="18"/>
        <v>Execelsa</v>
      </c>
      <c r="S210" t="str">
        <f t="shared" si="19"/>
        <v>Dark</v>
      </c>
      <c r="T210" t="str">
        <f>_xlfn.XLOOKUP(Orders[[#This Row],[Customer ID]],customers!$A$1:$A$1001,customers!$I$1:$I$1001,,0)</f>
        <v>Yes</v>
      </c>
    </row>
    <row r="211" spans="1:20" x14ac:dyDescent="0.35">
      <c r="A211" s="2" t="s">
        <v>1665</v>
      </c>
      <c r="B211" s="3">
        <v>44105</v>
      </c>
      <c r="C211" s="2" t="s">
        <v>1666</v>
      </c>
      <c r="D211" t="s">
        <v>6157</v>
      </c>
      <c r="E211" t="str">
        <f t="shared" si="17"/>
        <v>Arabica-Medium-0.5</v>
      </c>
      <c r="F211" s="2">
        <v>1</v>
      </c>
      <c r="G211" s="2" t="str" cm="1">
        <f t="array" ref="G211">_xlfn.XLOOKUP(C211, customers!$A$1:A1210,customers!$B$1:B1210,,0)</f>
        <v>Fransisco Malecky</v>
      </c>
      <c r="H211" s="2" t="str" cm="1">
        <f t="array" ref="H211">IF(_xlfn.XLOOKUP(C211,customers!$A$1:A1210,customers!$C$1:C1210,,0) = 0,"", _xlfn.XLOOKUP(C211,customers!$A$1:A1210,customers!$C$1:C1210,,0))</f>
        <v>fmalecky5t@list-manage.com</v>
      </c>
      <c r="I211" s="2" t="str">
        <f>_xlfn.XLOOKUP(C211,customers!$A$1:$A$1001,customers!$G$1:$G$1001,,0)</f>
        <v>United Kingdom</v>
      </c>
      <c r="J211" s="2" t="str">
        <f>_xlfn.XLOOKUP(Orders[[#This Row],[Customer ID]],customers!$A$1:$A$1001,customers!$F$1:$F$1001,,0)</f>
        <v>Whitwell</v>
      </c>
      <c r="K211" t="str">
        <f>INDEX(products!$A$1:$G$49,MATCH(orders!$D211,products!$A$1:$A$49,0),MATCH(orders!K$1,products!$A$1:$G$1,0))</f>
        <v>Ara</v>
      </c>
      <c r="L211" t="str">
        <f>INDEX(products!$A$1:$G$49,MATCH(orders!$D211,products!$A$1:$A$49,0),MATCH(orders!L$1,products!$A$1:$G$1,0))</f>
        <v>M</v>
      </c>
      <c r="M211" s="14">
        <f>INDEX(products!$A$1:$G$49,MATCH(orders!$D211,products!$A$1:$A$49,0),MATCH(orders!M$1,products!$A$1:$G$1,0))</f>
        <v>0.5</v>
      </c>
      <c r="N211" s="4">
        <f>INDEX(products!$A$1:$G$49,MATCH(orders!$D211,products!$A$1:$A$49,0),MATCH(orders!N$1,products!$A$1:$G$1,0))</f>
        <v>6.75</v>
      </c>
      <c r="O211" s="13">
        <f t="shared" si="15"/>
        <v>6.75</v>
      </c>
      <c r="P211" s="13">
        <f>_xlfn.XLOOKUP(Orders[[#This Row],[Product ID]],products!$A$1:$A$49,products!$G$1:$G$49,,0)</f>
        <v>0.60749999999999993</v>
      </c>
      <c r="Q211" s="13">
        <f t="shared" si="16"/>
        <v>0.60749999999999993</v>
      </c>
      <c r="R211" t="str">
        <f t="shared" si="18"/>
        <v>Arabica</v>
      </c>
      <c r="S211" t="str">
        <f t="shared" si="19"/>
        <v>Medium</v>
      </c>
      <c r="T211" t="str">
        <f>_xlfn.XLOOKUP(Orders[[#This Row],[Customer ID]],customers!$A$1:$A$1001,customers!$I$1:$I$1001,,0)</f>
        <v>No</v>
      </c>
    </row>
    <row r="212" spans="1:20" x14ac:dyDescent="0.35">
      <c r="A212" s="2" t="s">
        <v>1671</v>
      </c>
      <c r="B212" s="3">
        <v>43766</v>
      </c>
      <c r="C212" s="2" t="s">
        <v>1672</v>
      </c>
      <c r="D212" t="s">
        <v>6143</v>
      </c>
      <c r="E212" t="str">
        <f t="shared" si="17"/>
        <v>Liberica-Dark-1</v>
      </c>
      <c r="F212" s="2">
        <v>4</v>
      </c>
      <c r="G212" s="2" t="str" cm="1">
        <f t="array" ref="G212">_xlfn.XLOOKUP(C212, customers!$A$1:A1211,customers!$B$1:B1211,,0)</f>
        <v>Anselma Attwater</v>
      </c>
      <c r="H212" s="2" t="str" cm="1">
        <f t="array" ref="H212">IF(_xlfn.XLOOKUP(C212,customers!$A$1:A1211,customers!$C$1:C1211,,0) = 0,"", _xlfn.XLOOKUP(C212,customers!$A$1:A1211,customers!$C$1:C1211,,0))</f>
        <v>aattwater5u@wikia.com</v>
      </c>
      <c r="I212" s="2" t="str">
        <f>_xlfn.XLOOKUP(C212,customers!$A$1:$A$1001,customers!$G$1:$G$1001,,0)</f>
        <v>United States</v>
      </c>
      <c r="J212" s="2" t="str">
        <f>_xlfn.XLOOKUP(Orders[[#This Row],[Customer ID]],customers!$A$1:$A$1001,customers!$F$1:$F$1001,,0)</f>
        <v>Charlottesville</v>
      </c>
      <c r="K212" t="str">
        <f>INDEX(products!$A$1:$G$49,MATCH(orders!$D212,products!$A$1:$A$49,0),MATCH(orders!K$1,products!$A$1:$G$1,0))</f>
        <v>Lib</v>
      </c>
      <c r="L212" t="str">
        <f>INDEX(products!$A$1:$G$49,MATCH(orders!$D212,products!$A$1:$A$49,0),MATCH(orders!L$1,products!$A$1:$G$1,0))</f>
        <v>D</v>
      </c>
      <c r="M212" s="14">
        <f>INDEX(products!$A$1:$G$49,MATCH(orders!$D212,products!$A$1:$A$49,0),MATCH(orders!M$1,products!$A$1:$G$1,0))</f>
        <v>1</v>
      </c>
      <c r="N212" s="4">
        <f>INDEX(products!$A$1:$G$49,MATCH(orders!$D212,products!$A$1:$A$49,0),MATCH(orders!N$1,products!$A$1:$G$1,0))</f>
        <v>12.95</v>
      </c>
      <c r="O212" s="13">
        <f t="shared" si="15"/>
        <v>51.8</v>
      </c>
      <c r="P212" s="13">
        <f>_xlfn.XLOOKUP(Orders[[#This Row],[Product ID]],products!$A$1:$A$49,products!$G$1:$G$49,,0)</f>
        <v>1.6835</v>
      </c>
      <c r="Q212" s="13">
        <f t="shared" si="16"/>
        <v>6.734</v>
      </c>
      <c r="R212" t="str">
        <f t="shared" si="18"/>
        <v>Liberica</v>
      </c>
      <c r="S212" t="str">
        <f t="shared" si="19"/>
        <v>Dark</v>
      </c>
      <c r="T212" t="str">
        <f>_xlfn.XLOOKUP(Orders[[#This Row],[Customer ID]],customers!$A$1:$A$1001,customers!$I$1:$I$1001,,0)</f>
        <v>Yes</v>
      </c>
    </row>
    <row r="213" spans="1:20" x14ac:dyDescent="0.35">
      <c r="A213" s="2" t="s">
        <v>1677</v>
      </c>
      <c r="B213" s="3">
        <v>44283</v>
      </c>
      <c r="C213" s="2" t="s">
        <v>1678</v>
      </c>
      <c r="D213" t="s">
        <v>6176</v>
      </c>
      <c r="E213" t="str">
        <f t="shared" si="17"/>
        <v>Excelsa-Light-0.5</v>
      </c>
      <c r="F213" s="2">
        <v>6</v>
      </c>
      <c r="G213" s="2" t="str" cm="1">
        <f t="array" ref="G213">_xlfn.XLOOKUP(C213, customers!$A$1:A1212,customers!$B$1:B1212,,0)</f>
        <v>Minette Whellans</v>
      </c>
      <c r="H213" s="2" t="str" cm="1">
        <f t="array" ref="H213">IF(_xlfn.XLOOKUP(C213,customers!$A$1:A1212,customers!$C$1:C1212,,0) = 0,"", _xlfn.XLOOKUP(C213,customers!$A$1:A1212,customers!$C$1:C1212,,0))</f>
        <v>mwhellans5v@mapquest.com</v>
      </c>
      <c r="I213" s="2" t="str">
        <f>_xlfn.XLOOKUP(C213,customers!$A$1:$A$1001,customers!$G$1:$G$1001,,0)</f>
        <v>United States</v>
      </c>
      <c r="J213" s="2" t="str">
        <f>_xlfn.XLOOKUP(Orders[[#This Row],[Customer ID]],customers!$A$1:$A$1001,customers!$F$1:$F$1001,,0)</f>
        <v>New York City</v>
      </c>
      <c r="K213" t="str">
        <f>INDEX(products!$A$1:$G$49,MATCH(orders!$D213,products!$A$1:$A$49,0),MATCH(orders!K$1,products!$A$1:$G$1,0))</f>
        <v>Exc</v>
      </c>
      <c r="L213" t="str">
        <f>INDEX(products!$A$1:$G$49,MATCH(orders!$D213,products!$A$1:$A$49,0),MATCH(orders!L$1,products!$A$1:$G$1,0))</f>
        <v>L</v>
      </c>
      <c r="M213" s="14">
        <f>INDEX(products!$A$1:$G$49,MATCH(orders!$D213,products!$A$1:$A$49,0),MATCH(orders!M$1,products!$A$1:$G$1,0))</f>
        <v>0.5</v>
      </c>
      <c r="N213" s="4">
        <f>INDEX(products!$A$1:$G$49,MATCH(orders!$D213,products!$A$1:$A$49,0),MATCH(orders!N$1,products!$A$1:$G$1,0))</f>
        <v>8.91</v>
      </c>
      <c r="O213" s="13">
        <f t="shared" si="15"/>
        <v>53.46</v>
      </c>
      <c r="P213" s="13">
        <f>_xlfn.XLOOKUP(Orders[[#This Row],[Product ID]],products!$A$1:$A$49,products!$G$1:$G$49,,0)</f>
        <v>0.98009999999999997</v>
      </c>
      <c r="Q213" s="13">
        <f t="shared" si="16"/>
        <v>5.8805999999999994</v>
      </c>
      <c r="R213" t="str">
        <f t="shared" si="18"/>
        <v>Execelsa</v>
      </c>
      <c r="S213" t="str">
        <f t="shared" si="19"/>
        <v>Light</v>
      </c>
      <c r="T213" t="str">
        <f>_xlfn.XLOOKUP(Orders[[#This Row],[Customer ID]],customers!$A$1:$A$1001,customers!$I$1:$I$1001,,0)</f>
        <v>No</v>
      </c>
    </row>
    <row r="214" spans="1:20" x14ac:dyDescent="0.35">
      <c r="A214" s="2" t="s">
        <v>1682</v>
      </c>
      <c r="B214" s="3">
        <v>43921</v>
      </c>
      <c r="C214" s="2" t="s">
        <v>1683</v>
      </c>
      <c r="D214" t="s">
        <v>6153</v>
      </c>
      <c r="E214" t="str">
        <f t="shared" si="17"/>
        <v>Excelsa-Dark-0.2</v>
      </c>
      <c r="F214" s="2">
        <v>4</v>
      </c>
      <c r="G214" s="2" t="str" cm="1">
        <f t="array" ref="G214">_xlfn.XLOOKUP(C214, customers!$A$1:A1213,customers!$B$1:B1213,,0)</f>
        <v>Dael Camilletti</v>
      </c>
      <c r="H214" s="2" t="str" cm="1">
        <f t="array" ref="H214">IF(_xlfn.XLOOKUP(C214,customers!$A$1:A1213,customers!$C$1:C1213,,0) = 0,"", _xlfn.XLOOKUP(C214,customers!$A$1:A1213,customers!$C$1:C1213,,0))</f>
        <v>dcamilletti5w@businesswire.com</v>
      </c>
      <c r="I214" s="2" t="str">
        <f>_xlfn.XLOOKUP(C214,customers!$A$1:$A$1001,customers!$G$1:$G$1001,,0)</f>
        <v>United States</v>
      </c>
      <c r="J214" s="2" t="str">
        <f>_xlfn.XLOOKUP(Orders[[#This Row],[Customer ID]],customers!$A$1:$A$1001,customers!$F$1:$F$1001,,0)</f>
        <v>Roanoke</v>
      </c>
      <c r="K214" t="str">
        <f>INDEX(products!$A$1:$G$49,MATCH(orders!$D214,products!$A$1:$A$49,0),MATCH(orders!K$1,products!$A$1:$G$1,0))</f>
        <v>Exc</v>
      </c>
      <c r="L214" t="str">
        <f>INDEX(products!$A$1:$G$49,MATCH(orders!$D214,products!$A$1:$A$49,0),MATCH(orders!L$1,products!$A$1:$G$1,0))</f>
        <v>D</v>
      </c>
      <c r="M214" s="14">
        <f>INDEX(products!$A$1:$G$49,MATCH(orders!$D214,products!$A$1:$A$49,0),MATCH(orders!M$1,products!$A$1:$G$1,0))</f>
        <v>0.2</v>
      </c>
      <c r="N214" s="4">
        <f>INDEX(products!$A$1:$G$49,MATCH(orders!$D214,products!$A$1:$A$49,0),MATCH(orders!N$1,products!$A$1:$G$1,0))</f>
        <v>3.645</v>
      </c>
      <c r="O214" s="13">
        <f t="shared" si="15"/>
        <v>14.58</v>
      </c>
      <c r="P214" s="13">
        <f>_xlfn.XLOOKUP(Orders[[#This Row],[Product ID]],products!$A$1:$A$49,products!$G$1:$G$49,,0)</f>
        <v>0.40095000000000003</v>
      </c>
      <c r="Q214" s="13">
        <f t="shared" si="16"/>
        <v>1.6038000000000001</v>
      </c>
      <c r="R214" t="str">
        <f t="shared" si="18"/>
        <v>Execelsa</v>
      </c>
      <c r="S214" t="str">
        <f t="shared" si="19"/>
        <v>Dark</v>
      </c>
      <c r="T214" t="str">
        <f>_xlfn.XLOOKUP(Orders[[#This Row],[Customer ID]],customers!$A$1:$A$1001,customers!$I$1:$I$1001,,0)</f>
        <v>Yes</v>
      </c>
    </row>
    <row r="215" spans="1:20" x14ac:dyDescent="0.35">
      <c r="A215" s="2" t="s">
        <v>1688</v>
      </c>
      <c r="B215" s="3">
        <v>44646</v>
      </c>
      <c r="C215" s="2" t="s">
        <v>1689</v>
      </c>
      <c r="D215" t="s">
        <v>6149</v>
      </c>
      <c r="E215" t="str">
        <f t="shared" si="17"/>
        <v>Robusta-Dark-2.5</v>
      </c>
      <c r="F215" s="2">
        <v>1</v>
      </c>
      <c r="G215" s="2" t="str" cm="1">
        <f t="array" ref="G215">_xlfn.XLOOKUP(C215, customers!$A$1:A1214,customers!$B$1:B1214,,0)</f>
        <v>Emiline Galgey</v>
      </c>
      <c r="H215" s="2" t="str" cm="1">
        <f t="array" ref="H215">IF(_xlfn.XLOOKUP(C215,customers!$A$1:A1214,customers!$C$1:C1214,,0) = 0,"", _xlfn.XLOOKUP(C215,customers!$A$1:A1214,customers!$C$1:C1214,,0))</f>
        <v>egalgey5x@wufoo.com</v>
      </c>
      <c r="I215" s="2" t="str">
        <f>_xlfn.XLOOKUP(C215,customers!$A$1:$A$1001,customers!$G$1:$G$1001,,0)</f>
        <v>United States</v>
      </c>
      <c r="J215" s="2" t="str">
        <f>_xlfn.XLOOKUP(Orders[[#This Row],[Customer ID]],customers!$A$1:$A$1001,customers!$F$1:$F$1001,,0)</f>
        <v>New York City</v>
      </c>
      <c r="K215" t="str">
        <f>INDEX(products!$A$1:$G$49,MATCH(orders!$D215,products!$A$1:$A$49,0),MATCH(orders!K$1,products!$A$1:$G$1,0))</f>
        <v>Rob</v>
      </c>
      <c r="L215" t="str">
        <f>INDEX(products!$A$1:$G$49,MATCH(orders!$D215,products!$A$1:$A$49,0),MATCH(orders!L$1,products!$A$1:$G$1,0))</f>
        <v>D</v>
      </c>
      <c r="M215" s="14">
        <f>INDEX(products!$A$1:$G$49,MATCH(orders!$D215,products!$A$1:$A$49,0),MATCH(orders!M$1,products!$A$1:$G$1,0))</f>
        <v>2.5</v>
      </c>
      <c r="N215" s="4">
        <f>INDEX(products!$A$1:$G$49,MATCH(orders!$D215,products!$A$1:$A$49,0),MATCH(orders!N$1,products!$A$1:$G$1,0))</f>
        <v>20.584999999999997</v>
      </c>
      <c r="O215" s="13">
        <f t="shared" si="15"/>
        <v>20.584999999999997</v>
      </c>
      <c r="P215" s="13">
        <f>_xlfn.XLOOKUP(Orders[[#This Row],[Product ID]],products!$A$1:$A$49,products!$G$1:$G$49,,0)</f>
        <v>1.2350999999999999</v>
      </c>
      <c r="Q215" s="13">
        <f t="shared" si="16"/>
        <v>1.2350999999999999</v>
      </c>
      <c r="R215" t="str">
        <f t="shared" si="18"/>
        <v>Robusta</v>
      </c>
      <c r="S215" t="str">
        <f t="shared" si="19"/>
        <v>Dark</v>
      </c>
      <c r="T215" t="str">
        <f>_xlfn.XLOOKUP(Orders[[#This Row],[Customer ID]],customers!$A$1:$A$1001,customers!$I$1:$I$1001,,0)</f>
        <v>No</v>
      </c>
    </row>
    <row r="216" spans="1:20" x14ac:dyDescent="0.35">
      <c r="A216" s="2" t="s">
        <v>1694</v>
      </c>
      <c r="B216" s="3">
        <v>43775</v>
      </c>
      <c r="C216" s="2" t="s">
        <v>1695</v>
      </c>
      <c r="D216" t="s">
        <v>6170</v>
      </c>
      <c r="E216" t="str">
        <f t="shared" si="17"/>
        <v>Liberica-Light-1</v>
      </c>
      <c r="F216" s="2">
        <v>2</v>
      </c>
      <c r="G216" s="2" t="str" cm="1">
        <f t="array" ref="G216">_xlfn.XLOOKUP(C216, customers!$A$1:A1215,customers!$B$1:B1215,,0)</f>
        <v>Murdock Hame</v>
      </c>
      <c r="H216" s="2" t="str" cm="1">
        <f t="array" ref="H216">IF(_xlfn.XLOOKUP(C216,customers!$A$1:A1215,customers!$C$1:C1215,,0) = 0,"", _xlfn.XLOOKUP(C216,customers!$A$1:A1215,customers!$C$1:C1215,,0))</f>
        <v>mhame5y@newsvine.com</v>
      </c>
      <c r="I216" s="2" t="str">
        <f>_xlfn.XLOOKUP(C216,customers!$A$1:$A$1001,customers!$G$1:$G$1001,,0)</f>
        <v>Ireland</v>
      </c>
      <c r="J216" s="2" t="str">
        <f>_xlfn.XLOOKUP(Orders[[#This Row],[Customer ID]],customers!$A$1:$A$1001,customers!$F$1:$F$1001,,0)</f>
        <v>Balally</v>
      </c>
      <c r="K216" t="str">
        <f>INDEX(products!$A$1:$G$49,MATCH(orders!$D216,products!$A$1:$A$49,0),MATCH(orders!K$1,products!$A$1:$G$1,0))</f>
        <v>Lib</v>
      </c>
      <c r="L216" t="str">
        <f>INDEX(products!$A$1:$G$49,MATCH(orders!$D216,products!$A$1:$A$49,0),MATCH(orders!L$1,products!$A$1:$G$1,0))</f>
        <v>L</v>
      </c>
      <c r="M216" s="14">
        <f>INDEX(products!$A$1:$G$49,MATCH(orders!$D216,products!$A$1:$A$49,0),MATCH(orders!M$1,products!$A$1:$G$1,0))</f>
        <v>1</v>
      </c>
      <c r="N216" s="4">
        <f>INDEX(products!$A$1:$G$49,MATCH(orders!$D216,products!$A$1:$A$49,0),MATCH(orders!N$1,products!$A$1:$G$1,0))</f>
        <v>15.85</v>
      </c>
      <c r="O216" s="13">
        <f t="shared" si="15"/>
        <v>31.7</v>
      </c>
      <c r="P216" s="13">
        <f>_xlfn.XLOOKUP(Orders[[#This Row],[Product ID]],products!$A$1:$A$49,products!$G$1:$G$49,,0)</f>
        <v>2.0605000000000002</v>
      </c>
      <c r="Q216" s="13">
        <f t="shared" si="16"/>
        <v>4.1210000000000004</v>
      </c>
      <c r="R216" t="str">
        <f t="shared" si="18"/>
        <v>Liberica</v>
      </c>
      <c r="S216" t="str">
        <f t="shared" si="19"/>
        <v>Light</v>
      </c>
      <c r="T216" t="str">
        <f>_xlfn.XLOOKUP(Orders[[#This Row],[Customer ID]],customers!$A$1:$A$1001,customers!$I$1:$I$1001,,0)</f>
        <v>No</v>
      </c>
    </row>
    <row r="217" spans="1:20" x14ac:dyDescent="0.35">
      <c r="A217" s="2" t="s">
        <v>1701</v>
      </c>
      <c r="B217" s="3">
        <v>43829</v>
      </c>
      <c r="C217" s="2" t="s">
        <v>1702</v>
      </c>
      <c r="D217" t="s">
        <v>6150</v>
      </c>
      <c r="E217" t="str">
        <f t="shared" si="17"/>
        <v>Liberica-Dark-0.2</v>
      </c>
      <c r="F217" s="2">
        <v>6</v>
      </c>
      <c r="G217" s="2" t="str" cm="1">
        <f t="array" ref="G217">_xlfn.XLOOKUP(C217, customers!$A$1:A1216,customers!$B$1:B1216,,0)</f>
        <v>Ilka Gurnee</v>
      </c>
      <c r="H217" s="2" t="str" cm="1">
        <f t="array" ref="H217">IF(_xlfn.XLOOKUP(C217,customers!$A$1:A1216,customers!$C$1:C1216,,0) = 0,"", _xlfn.XLOOKUP(C217,customers!$A$1:A1216,customers!$C$1:C1216,,0))</f>
        <v>igurnee5z@usnews.com</v>
      </c>
      <c r="I217" s="2" t="str">
        <f>_xlfn.XLOOKUP(C217,customers!$A$1:$A$1001,customers!$G$1:$G$1001,,0)</f>
        <v>United States</v>
      </c>
      <c r="J217" s="2" t="str">
        <f>_xlfn.XLOOKUP(Orders[[#This Row],[Customer ID]],customers!$A$1:$A$1001,customers!$F$1:$F$1001,,0)</f>
        <v>Salt Lake City</v>
      </c>
      <c r="K217" t="str">
        <f>INDEX(products!$A$1:$G$49,MATCH(orders!$D217,products!$A$1:$A$49,0),MATCH(orders!K$1,products!$A$1:$G$1,0))</f>
        <v>Lib</v>
      </c>
      <c r="L217" t="str">
        <f>INDEX(products!$A$1:$G$49,MATCH(orders!$D217,products!$A$1:$A$49,0),MATCH(orders!L$1,products!$A$1:$G$1,0))</f>
        <v>D</v>
      </c>
      <c r="M217" s="14">
        <f>INDEX(products!$A$1:$G$49,MATCH(orders!$D217,products!$A$1:$A$49,0),MATCH(orders!M$1,products!$A$1:$G$1,0))</f>
        <v>0.2</v>
      </c>
      <c r="N217" s="4">
        <f>INDEX(products!$A$1:$G$49,MATCH(orders!$D217,products!$A$1:$A$49,0),MATCH(orders!N$1,products!$A$1:$G$1,0))</f>
        <v>3.8849999999999998</v>
      </c>
      <c r="O217" s="13">
        <f t="shared" si="15"/>
        <v>23.31</v>
      </c>
      <c r="P217" s="13">
        <f>_xlfn.XLOOKUP(Orders[[#This Row],[Product ID]],products!$A$1:$A$49,products!$G$1:$G$49,,0)</f>
        <v>0.50505</v>
      </c>
      <c r="Q217" s="13">
        <f t="shared" si="16"/>
        <v>3.0303</v>
      </c>
      <c r="R217" t="str">
        <f t="shared" si="18"/>
        <v>Liberica</v>
      </c>
      <c r="S217" t="str">
        <f t="shared" si="19"/>
        <v>Dark</v>
      </c>
      <c r="T217" t="str">
        <f>_xlfn.XLOOKUP(Orders[[#This Row],[Customer ID]],customers!$A$1:$A$1001,customers!$I$1:$I$1001,,0)</f>
        <v>No</v>
      </c>
    </row>
    <row r="218" spans="1:20" x14ac:dyDescent="0.35">
      <c r="A218" s="2" t="s">
        <v>1707</v>
      </c>
      <c r="B218" s="3">
        <v>44470</v>
      </c>
      <c r="C218" s="2" t="s">
        <v>1708</v>
      </c>
      <c r="D218" t="s">
        <v>6162</v>
      </c>
      <c r="E218" t="str">
        <f t="shared" si="17"/>
        <v>Liberica-Medium-1</v>
      </c>
      <c r="F218" s="2">
        <v>4</v>
      </c>
      <c r="G218" s="2" t="str" cm="1">
        <f t="array" ref="G218">_xlfn.XLOOKUP(C218, customers!$A$1:A1217,customers!$B$1:B1217,,0)</f>
        <v>Alfy Snowding</v>
      </c>
      <c r="H218" s="2" t="str" cm="1">
        <f t="array" ref="H218">IF(_xlfn.XLOOKUP(C218,customers!$A$1:A1217,customers!$C$1:C1217,,0) = 0,"", _xlfn.XLOOKUP(C218,customers!$A$1:A1217,customers!$C$1:C1217,,0))</f>
        <v>asnowding60@comsenz.com</v>
      </c>
      <c r="I218" s="2" t="str">
        <f>_xlfn.XLOOKUP(C218,customers!$A$1:$A$1001,customers!$G$1:$G$1001,,0)</f>
        <v>United States</v>
      </c>
      <c r="J218" s="2" t="str">
        <f>_xlfn.XLOOKUP(Orders[[#This Row],[Customer ID]],customers!$A$1:$A$1001,customers!$F$1:$F$1001,,0)</f>
        <v>Toledo</v>
      </c>
      <c r="K218" t="str">
        <f>INDEX(products!$A$1:$G$49,MATCH(orders!$D218,products!$A$1:$A$49,0),MATCH(orders!K$1,products!$A$1:$G$1,0))</f>
        <v>Lib</v>
      </c>
      <c r="L218" t="str">
        <f>INDEX(products!$A$1:$G$49,MATCH(orders!$D218,products!$A$1:$A$49,0),MATCH(orders!L$1,products!$A$1:$G$1,0))</f>
        <v>M</v>
      </c>
      <c r="M218" s="14">
        <f>INDEX(products!$A$1:$G$49,MATCH(orders!$D218,products!$A$1:$A$49,0),MATCH(orders!M$1,products!$A$1:$G$1,0))</f>
        <v>1</v>
      </c>
      <c r="N218" s="4">
        <f>INDEX(products!$A$1:$G$49,MATCH(orders!$D218,products!$A$1:$A$49,0),MATCH(orders!N$1,products!$A$1:$G$1,0))</f>
        <v>14.55</v>
      </c>
      <c r="O218" s="13">
        <f t="shared" si="15"/>
        <v>58.2</v>
      </c>
      <c r="P218" s="13">
        <f>_xlfn.XLOOKUP(Orders[[#This Row],[Product ID]],products!$A$1:$A$49,products!$G$1:$G$49,,0)</f>
        <v>1.8915000000000002</v>
      </c>
      <c r="Q218" s="13">
        <f t="shared" si="16"/>
        <v>7.5660000000000007</v>
      </c>
      <c r="R218" t="str">
        <f t="shared" si="18"/>
        <v>Liberica</v>
      </c>
      <c r="S218" t="str">
        <f t="shared" si="19"/>
        <v>Medium</v>
      </c>
      <c r="T218" t="str">
        <f>_xlfn.XLOOKUP(Orders[[#This Row],[Customer ID]],customers!$A$1:$A$1001,customers!$I$1:$I$1001,,0)</f>
        <v>Yes</v>
      </c>
    </row>
    <row r="219" spans="1:20" x14ac:dyDescent="0.35">
      <c r="A219" s="2" t="s">
        <v>1713</v>
      </c>
      <c r="B219" s="3">
        <v>44174</v>
      </c>
      <c r="C219" s="2" t="s">
        <v>1714</v>
      </c>
      <c r="D219" t="s">
        <v>6176</v>
      </c>
      <c r="E219" t="str">
        <f t="shared" si="17"/>
        <v>Excelsa-Light-0.5</v>
      </c>
      <c r="F219" s="2">
        <v>4</v>
      </c>
      <c r="G219" s="2" t="str" cm="1">
        <f t="array" ref="G219">_xlfn.XLOOKUP(C219, customers!$A$1:A1218,customers!$B$1:B1218,,0)</f>
        <v>Godfry Poinsett</v>
      </c>
      <c r="H219" s="2" t="str" cm="1">
        <f t="array" ref="H219">IF(_xlfn.XLOOKUP(C219,customers!$A$1:A1218,customers!$C$1:C1218,,0) = 0,"", _xlfn.XLOOKUP(C219,customers!$A$1:A1218,customers!$C$1:C1218,,0))</f>
        <v>gpoinsett61@berkeley.edu</v>
      </c>
      <c r="I219" s="2" t="str">
        <f>_xlfn.XLOOKUP(C219,customers!$A$1:$A$1001,customers!$G$1:$G$1001,,0)</f>
        <v>United States</v>
      </c>
      <c r="J219" s="2" t="str">
        <f>_xlfn.XLOOKUP(Orders[[#This Row],[Customer ID]],customers!$A$1:$A$1001,customers!$F$1:$F$1001,,0)</f>
        <v>Pasadena</v>
      </c>
      <c r="K219" t="str">
        <f>INDEX(products!$A$1:$G$49,MATCH(orders!$D219,products!$A$1:$A$49,0),MATCH(orders!K$1,products!$A$1:$G$1,0))</f>
        <v>Exc</v>
      </c>
      <c r="L219" t="str">
        <f>INDEX(products!$A$1:$G$49,MATCH(orders!$D219,products!$A$1:$A$49,0),MATCH(orders!L$1,products!$A$1:$G$1,0))</f>
        <v>L</v>
      </c>
      <c r="M219" s="14">
        <f>INDEX(products!$A$1:$G$49,MATCH(orders!$D219,products!$A$1:$A$49,0),MATCH(orders!M$1,products!$A$1:$G$1,0))</f>
        <v>0.5</v>
      </c>
      <c r="N219" s="4">
        <f>INDEX(products!$A$1:$G$49,MATCH(orders!$D219,products!$A$1:$A$49,0),MATCH(orders!N$1,products!$A$1:$G$1,0))</f>
        <v>8.91</v>
      </c>
      <c r="O219" s="13">
        <f t="shared" si="15"/>
        <v>35.64</v>
      </c>
      <c r="P219" s="13">
        <f>_xlfn.XLOOKUP(Orders[[#This Row],[Product ID]],products!$A$1:$A$49,products!$G$1:$G$49,,0)</f>
        <v>0.98009999999999997</v>
      </c>
      <c r="Q219" s="13">
        <f t="shared" si="16"/>
        <v>3.9203999999999999</v>
      </c>
      <c r="R219" t="str">
        <f t="shared" si="18"/>
        <v>Execelsa</v>
      </c>
      <c r="S219" t="str">
        <f t="shared" si="19"/>
        <v>Light</v>
      </c>
      <c r="T219" t="str">
        <f>_xlfn.XLOOKUP(Orders[[#This Row],[Customer ID]],customers!$A$1:$A$1001,customers!$I$1:$I$1001,,0)</f>
        <v>No</v>
      </c>
    </row>
    <row r="220" spans="1:20" x14ac:dyDescent="0.35">
      <c r="A220" s="2" t="s">
        <v>1719</v>
      </c>
      <c r="B220" s="3">
        <v>44317</v>
      </c>
      <c r="C220" s="2" t="s">
        <v>1720</v>
      </c>
      <c r="D220" t="s">
        <v>6155</v>
      </c>
      <c r="E220" t="str">
        <f t="shared" si="17"/>
        <v>Arabica-Medium-1</v>
      </c>
      <c r="F220" s="2">
        <v>5</v>
      </c>
      <c r="G220" s="2" t="str" cm="1">
        <f t="array" ref="G220">_xlfn.XLOOKUP(C220, customers!$A$1:A1219,customers!$B$1:B1219,,0)</f>
        <v>Rem Furman</v>
      </c>
      <c r="H220" s="2" t="str" cm="1">
        <f t="array" ref="H220">IF(_xlfn.XLOOKUP(C220,customers!$A$1:A1219,customers!$C$1:C1219,,0) = 0,"", _xlfn.XLOOKUP(C220,customers!$A$1:A1219,customers!$C$1:C1219,,0))</f>
        <v>rfurman62@t.co</v>
      </c>
      <c r="I220" s="2" t="str">
        <f>_xlfn.XLOOKUP(C220,customers!$A$1:$A$1001,customers!$G$1:$G$1001,,0)</f>
        <v>Ireland</v>
      </c>
      <c r="J220" s="2" t="str">
        <f>_xlfn.XLOOKUP(Orders[[#This Row],[Customer ID]],customers!$A$1:$A$1001,customers!$F$1:$F$1001,,0)</f>
        <v>Kinsale</v>
      </c>
      <c r="K220" t="str">
        <f>INDEX(products!$A$1:$G$49,MATCH(orders!$D220,products!$A$1:$A$49,0),MATCH(orders!K$1,products!$A$1:$G$1,0))</f>
        <v>Ara</v>
      </c>
      <c r="L220" t="str">
        <f>INDEX(products!$A$1:$G$49,MATCH(orders!$D220,products!$A$1:$A$49,0),MATCH(orders!L$1,products!$A$1:$G$1,0))</f>
        <v>M</v>
      </c>
      <c r="M220" s="14">
        <f>INDEX(products!$A$1:$G$49,MATCH(orders!$D220,products!$A$1:$A$49,0),MATCH(orders!M$1,products!$A$1:$G$1,0))</f>
        <v>1</v>
      </c>
      <c r="N220" s="4">
        <f>INDEX(products!$A$1:$G$49,MATCH(orders!$D220,products!$A$1:$A$49,0),MATCH(orders!N$1,products!$A$1:$G$1,0))</f>
        <v>11.25</v>
      </c>
      <c r="O220" s="13">
        <f t="shared" si="15"/>
        <v>56.25</v>
      </c>
      <c r="P220" s="13">
        <f>_xlfn.XLOOKUP(Orders[[#This Row],[Product ID]],products!$A$1:$A$49,products!$G$1:$G$49,,0)</f>
        <v>1.0125</v>
      </c>
      <c r="Q220" s="13">
        <f t="shared" si="16"/>
        <v>5.0625</v>
      </c>
      <c r="R220" t="str">
        <f t="shared" si="18"/>
        <v>Arabica</v>
      </c>
      <c r="S220" t="str">
        <f t="shared" si="19"/>
        <v>Medium</v>
      </c>
      <c r="T220" t="str">
        <f>_xlfn.XLOOKUP(Orders[[#This Row],[Customer ID]],customers!$A$1:$A$1001,customers!$I$1:$I$1001,,0)</f>
        <v>Yes</v>
      </c>
    </row>
    <row r="221" spans="1:20" x14ac:dyDescent="0.35">
      <c r="A221" s="2" t="s">
        <v>1725</v>
      </c>
      <c r="B221" s="3">
        <v>44777</v>
      </c>
      <c r="C221" s="2" t="s">
        <v>1726</v>
      </c>
      <c r="D221" t="s">
        <v>6178</v>
      </c>
      <c r="E221" t="str">
        <f t="shared" si="17"/>
        <v>Robusta-Light-0.2</v>
      </c>
      <c r="F221" s="2">
        <v>3</v>
      </c>
      <c r="G221" s="2" t="str" cm="1">
        <f t="array" ref="G221">_xlfn.XLOOKUP(C221, customers!$A$1:A1220,customers!$B$1:B1220,,0)</f>
        <v>Charis Crosier</v>
      </c>
      <c r="H221" s="2" t="str" cm="1">
        <f t="array" ref="H221">IF(_xlfn.XLOOKUP(C221,customers!$A$1:A1220,customers!$C$1:C1220,,0) = 0,"", _xlfn.XLOOKUP(C221,customers!$A$1:A1220,customers!$C$1:C1220,,0))</f>
        <v>ccrosier63@xrea.com</v>
      </c>
      <c r="I221" s="2" t="str">
        <f>_xlfn.XLOOKUP(C221,customers!$A$1:$A$1001,customers!$G$1:$G$1001,,0)</f>
        <v>United States</v>
      </c>
      <c r="J221" s="2" t="str">
        <f>_xlfn.XLOOKUP(Orders[[#This Row],[Customer ID]],customers!$A$1:$A$1001,customers!$F$1:$F$1001,,0)</f>
        <v>Lees Summit</v>
      </c>
      <c r="K221" t="str">
        <f>INDEX(products!$A$1:$G$49,MATCH(orders!$D221,products!$A$1:$A$49,0),MATCH(orders!K$1,products!$A$1:$G$1,0))</f>
        <v>Rob</v>
      </c>
      <c r="L221" t="str">
        <f>INDEX(products!$A$1:$G$49,MATCH(orders!$D221,products!$A$1:$A$49,0),MATCH(orders!L$1,products!$A$1:$G$1,0))</f>
        <v>L</v>
      </c>
      <c r="M221" s="14">
        <f>INDEX(products!$A$1:$G$49,MATCH(orders!$D221,products!$A$1:$A$49,0),MATCH(orders!M$1,products!$A$1:$G$1,0))</f>
        <v>0.2</v>
      </c>
      <c r="N221" s="4">
        <f>INDEX(products!$A$1:$G$49,MATCH(orders!$D221,products!$A$1:$A$49,0),MATCH(orders!N$1,products!$A$1:$G$1,0))</f>
        <v>3.5849999999999995</v>
      </c>
      <c r="O221" s="13">
        <f t="shared" si="15"/>
        <v>10.754999999999999</v>
      </c>
      <c r="P221" s="13">
        <f>_xlfn.XLOOKUP(Orders[[#This Row],[Product ID]],products!$A$1:$A$49,products!$G$1:$G$49,,0)</f>
        <v>0.21509999999999996</v>
      </c>
      <c r="Q221" s="13">
        <f t="shared" si="16"/>
        <v>0.64529999999999987</v>
      </c>
      <c r="R221" t="str">
        <f t="shared" si="18"/>
        <v>Robusta</v>
      </c>
      <c r="S221" t="str">
        <f t="shared" si="19"/>
        <v>Light</v>
      </c>
      <c r="T221" t="str">
        <f>_xlfn.XLOOKUP(Orders[[#This Row],[Customer ID]],customers!$A$1:$A$1001,customers!$I$1:$I$1001,,0)</f>
        <v>No</v>
      </c>
    </row>
    <row r="222" spans="1:20" x14ac:dyDescent="0.35">
      <c r="A222" s="2" t="s">
        <v>1725</v>
      </c>
      <c r="B222" s="3">
        <v>44777</v>
      </c>
      <c r="C222" s="2" t="s">
        <v>1726</v>
      </c>
      <c r="D222" t="s">
        <v>6174</v>
      </c>
      <c r="E222" t="str">
        <f t="shared" si="17"/>
        <v>Robusta-Medium-0.2</v>
      </c>
      <c r="F222" s="2">
        <v>5</v>
      </c>
      <c r="G222" s="2" t="str" cm="1">
        <f t="array" ref="G222">_xlfn.XLOOKUP(C222, customers!$A$1:A1221,customers!$B$1:B1221,,0)</f>
        <v>Charis Crosier</v>
      </c>
      <c r="H222" s="2" t="str" cm="1">
        <f t="array" ref="H222">IF(_xlfn.XLOOKUP(C222,customers!$A$1:A1221,customers!$C$1:C1221,,0) = 0,"", _xlfn.XLOOKUP(C222,customers!$A$1:A1221,customers!$C$1:C1221,,0))</f>
        <v>ccrosier63@xrea.com</v>
      </c>
      <c r="I222" s="2" t="str">
        <f>_xlfn.XLOOKUP(C222,customers!$A$1:$A$1001,customers!$G$1:$G$1001,,0)</f>
        <v>United States</v>
      </c>
      <c r="J222" s="2" t="str">
        <f>_xlfn.XLOOKUP(Orders[[#This Row],[Customer ID]],customers!$A$1:$A$1001,customers!$F$1:$F$1001,,0)</f>
        <v>Lees Summit</v>
      </c>
      <c r="K222" t="str">
        <f>INDEX(products!$A$1:$G$49,MATCH(orders!$D222,products!$A$1:$A$49,0),MATCH(orders!K$1,products!$A$1:$G$1,0))</f>
        <v>Rob</v>
      </c>
      <c r="L222" t="str">
        <f>INDEX(products!$A$1:$G$49,MATCH(orders!$D222,products!$A$1:$A$49,0),MATCH(orders!L$1,products!$A$1:$G$1,0))</f>
        <v>M</v>
      </c>
      <c r="M222" s="14">
        <f>INDEX(products!$A$1:$G$49,MATCH(orders!$D222,products!$A$1:$A$49,0),MATCH(orders!M$1,products!$A$1:$G$1,0))</f>
        <v>0.2</v>
      </c>
      <c r="N222" s="4">
        <f>INDEX(products!$A$1:$G$49,MATCH(orders!$D222,products!$A$1:$A$49,0),MATCH(orders!N$1,products!$A$1:$G$1,0))</f>
        <v>2.9849999999999999</v>
      </c>
      <c r="O222" s="13">
        <f t="shared" si="15"/>
        <v>14.924999999999999</v>
      </c>
      <c r="P222" s="13">
        <f>_xlfn.XLOOKUP(Orders[[#This Row],[Product ID]],products!$A$1:$A$49,products!$G$1:$G$49,,0)</f>
        <v>0.17909999999999998</v>
      </c>
      <c r="Q222" s="13">
        <f t="shared" si="16"/>
        <v>0.89549999999999996</v>
      </c>
      <c r="R222" t="str">
        <f t="shared" si="18"/>
        <v>Robusta</v>
      </c>
      <c r="S222" t="str">
        <f t="shared" si="19"/>
        <v>Medium</v>
      </c>
      <c r="T222" t="str">
        <f>_xlfn.XLOOKUP(Orders[[#This Row],[Customer ID]],customers!$A$1:$A$1001,customers!$I$1:$I$1001,,0)</f>
        <v>No</v>
      </c>
    </row>
    <row r="223" spans="1:20" x14ac:dyDescent="0.35">
      <c r="A223" s="2" t="s">
        <v>1736</v>
      </c>
      <c r="B223" s="3">
        <v>44513</v>
      </c>
      <c r="C223" s="2" t="s">
        <v>1737</v>
      </c>
      <c r="D223" t="s">
        <v>6140</v>
      </c>
      <c r="E223" t="str">
        <f t="shared" si="17"/>
        <v>Arabica-Light-1</v>
      </c>
      <c r="F223" s="2">
        <v>6</v>
      </c>
      <c r="G223" s="2" t="str" cm="1">
        <f t="array" ref="G223">_xlfn.XLOOKUP(C223, customers!$A$1:A1222,customers!$B$1:B1222,,0)</f>
        <v>Lenka Rushmer</v>
      </c>
      <c r="H223" s="2" t="str" cm="1">
        <f t="array" ref="H223">IF(_xlfn.XLOOKUP(C223,customers!$A$1:A1222,customers!$C$1:C1222,,0) = 0,"", _xlfn.XLOOKUP(C223,customers!$A$1:A1222,customers!$C$1:C1222,,0))</f>
        <v>lrushmer65@europa.eu</v>
      </c>
      <c r="I223" s="2" t="str">
        <f>_xlfn.XLOOKUP(C223,customers!$A$1:$A$1001,customers!$G$1:$G$1001,,0)</f>
        <v>United States</v>
      </c>
      <c r="J223" s="2" t="str">
        <f>_xlfn.XLOOKUP(Orders[[#This Row],[Customer ID]],customers!$A$1:$A$1001,customers!$F$1:$F$1001,,0)</f>
        <v>Irvine</v>
      </c>
      <c r="K223" t="str">
        <f>INDEX(products!$A$1:$G$49,MATCH(orders!$D223,products!$A$1:$A$49,0),MATCH(orders!K$1,products!$A$1:$G$1,0))</f>
        <v>Ara</v>
      </c>
      <c r="L223" t="str">
        <f>INDEX(products!$A$1:$G$49,MATCH(orders!$D223,products!$A$1:$A$49,0),MATCH(orders!L$1,products!$A$1:$G$1,0))</f>
        <v>L</v>
      </c>
      <c r="M223" s="14">
        <f>INDEX(products!$A$1:$G$49,MATCH(orders!$D223,products!$A$1:$A$49,0),MATCH(orders!M$1,products!$A$1:$G$1,0))</f>
        <v>1</v>
      </c>
      <c r="N223" s="4">
        <f>INDEX(products!$A$1:$G$49,MATCH(orders!$D223,products!$A$1:$A$49,0),MATCH(orders!N$1,products!$A$1:$G$1,0))</f>
        <v>12.95</v>
      </c>
      <c r="O223" s="13">
        <f t="shared" si="15"/>
        <v>77.699999999999989</v>
      </c>
      <c r="P223" s="13">
        <f>_xlfn.XLOOKUP(Orders[[#This Row],[Product ID]],products!$A$1:$A$49,products!$G$1:$G$49,,0)</f>
        <v>1.1655</v>
      </c>
      <c r="Q223" s="13">
        <f t="shared" si="16"/>
        <v>6.9930000000000003</v>
      </c>
      <c r="R223" t="str">
        <f t="shared" si="18"/>
        <v>Arabica</v>
      </c>
      <c r="S223" t="str">
        <f t="shared" si="19"/>
        <v>Light</v>
      </c>
      <c r="T223" t="str">
        <f>_xlfn.XLOOKUP(Orders[[#This Row],[Customer ID]],customers!$A$1:$A$1001,customers!$I$1:$I$1001,,0)</f>
        <v>Yes</v>
      </c>
    </row>
    <row r="224" spans="1:20" x14ac:dyDescent="0.35">
      <c r="A224" s="2" t="s">
        <v>1742</v>
      </c>
      <c r="B224" s="3">
        <v>44090</v>
      </c>
      <c r="C224" s="2" t="s">
        <v>1743</v>
      </c>
      <c r="D224" t="s">
        <v>6169</v>
      </c>
      <c r="E224" t="str">
        <f t="shared" si="17"/>
        <v>Liberica-Dark-0.5</v>
      </c>
      <c r="F224" s="2">
        <v>3</v>
      </c>
      <c r="G224" s="2" t="str" cm="1">
        <f t="array" ref="G224">_xlfn.XLOOKUP(C224, customers!$A$1:A1223,customers!$B$1:B1223,,0)</f>
        <v>Waneta Edinborough</v>
      </c>
      <c r="H224" s="2" t="str" cm="1">
        <f t="array" ref="H224">IF(_xlfn.XLOOKUP(C224,customers!$A$1:A1223,customers!$C$1:C1223,,0) = 0,"", _xlfn.XLOOKUP(C224,customers!$A$1:A1223,customers!$C$1:C1223,,0))</f>
        <v>wedinborough66@github.io</v>
      </c>
      <c r="I224" s="2" t="str">
        <f>_xlfn.XLOOKUP(C224,customers!$A$1:$A$1001,customers!$G$1:$G$1001,,0)</f>
        <v>United States</v>
      </c>
      <c r="J224" s="2" t="str">
        <f>_xlfn.XLOOKUP(Orders[[#This Row],[Customer ID]],customers!$A$1:$A$1001,customers!$F$1:$F$1001,,0)</f>
        <v>Hicksville</v>
      </c>
      <c r="K224" t="str">
        <f>INDEX(products!$A$1:$G$49,MATCH(orders!$D224,products!$A$1:$A$49,0),MATCH(orders!K$1,products!$A$1:$G$1,0))</f>
        <v>Lib</v>
      </c>
      <c r="L224" t="str">
        <f>INDEX(products!$A$1:$G$49,MATCH(orders!$D224,products!$A$1:$A$49,0),MATCH(orders!L$1,products!$A$1:$G$1,0))</f>
        <v>D</v>
      </c>
      <c r="M224" s="14">
        <f>INDEX(products!$A$1:$G$49,MATCH(orders!$D224,products!$A$1:$A$49,0),MATCH(orders!M$1,products!$A$1:$G$1,0))</f>
        <v>0.5</v>
      </c>
      <c r="N224" s="4">
        <f>INDEX(products!$A$1:$G$49,MATCH(orders!$D224,products!$A$1:$A$49,0),MATCH(orders!N$1,products!$A$1:$G$1,0))</f>
        <v>7.77</v>
      </c>
      <c r="O224" s="13">
        <f t="shared" si="15"/>
        <v>23.31</v>
      </c>
      <c r="P224" s="13">
        <f>_xlfn.XLOOKUP(Orders[[#This Row],[Product ID]],products!$A$1:$A$49,products!$G$1:$G$49,,0)</f>
        <v>1.0101</v>
      </c>
      <c r="Q224" s="13">
        <f t="shared" si="16"/>
        <v>3.0303</v>
      </c>
      <c r="R224" t="str">
        <f t="shared" si="18"/>
        <v>Liberica</v>
      </c>
      <c r="S224" t="str">
        <f t="shared" si="19"/>
        <v>Dark</v>
      </c>
      <c r="T224" t="str">
        <f>_xlfn.XLOOKUP(Orders[[#This Row],[Customer ID]],customers!$A$1:$A$1001,customers!$I$1:$I$1001,,0)</f>
        <v>No</v>
      </c>
    </row>
    <row r="225" spans="1:20" x14ac:dyDescent="0.35">
      <c r="A225" s="2" t="s">
        <v>1748</v>
      </c>
      <c r="B225" s="3">
        <v>44109</v>
      </c>
      <c r="C225" s="2" t="s">
        <v>1749</v>
      </c>
      <c r="D225" t="s">
        <v>6171</v>
      </c>
      <c r="E225" t="str">
        <f t="shared" si="17"/>
        <v>Excelsa-Light-1</v>
      </c>
      <c r="F225" s="2">
        <v>4</v>
      </c>
      <c r="G225" s="2" t="str" cm="1">
        <f t="array" ref="G225">_xlfn.XLOOKUP(C225, customers!$A$1:A1224,customers!$B$1:B1224,,0)</f>
        <v>Bobbe Piggott</v>
      </c>
      <c r="H225" s="2" t="str" cm="1">
        <f t="array" ref="H225">IF(_xlfn.XLOOKUP(C225,customers!$A$1:A1224,customers!$C$1:C1224,,0) = 0,"", _xlfn.XLOOKUP(C225,customers!$A$1:A1224,customers!$C$1:C1224,,0))</f>
        <v/>
      </c>
      <c r="I225" s="2" t="str">
        <f>_xlfn.XLOOKUP(C225,customers!$A$1:$A$1001,customers!$G$1:$G$1001,,0)</f>
        <v>United States</v>
      </c>
      <c r="J225" s="2" t="str">
        <f>_xlfn.XLOOKUP(Orders[[#This Row],[Customer ID]],customers!$A$1:$A$1001,customers!$F$1:$F$1001,,0)</f>
        <v>Washington</v>
      </c>
      <c r="K225" t="str">
        <f>INDEX(products!$A$1:$G$49,MATCH(orders!$D225,products!$A$1:$A$49,0),MATCH(orders!K$1,products!$A$1:$G$1,0))</f>
        <v>Exc</v>
      </c>
      <c r="L225" t="str">
        <f>INDEX(products!$A$1:$G$49,MATCH(orders!$D225,products!$A$1:$A$49,0),MATCH(orders!L$1,products!$A$1:$G$1,0))</f>
        <v>L</v>
      </c>
      <c r="M225" s="14">
        <f>INDEX(products!$A$1:$G$49,MATCH(orders!$D225,products!$A$1:$A$49,0),MATCH(orders!M$1,products!$A$1:$G$1,0))</f>
        <v>1</v>
      </c>
      <c r="N225" s="4">
        <f>INDEX(products!$A$1:$G$49,MATCH(orders!$D225,products!$A$1:$A$49,0),MATCH(orders!N$1,products!$A$1:$G$1,0))</f>
        <v>14.85</v>
      </c>
      <c r="O225" s="13">
        <f t="shared" si="15"/>
        <v>59.4</v>
      </c>
      <c r="P225" s="13">
        <f>_xlfn.XLOOKUP(Orders[[#This Row],[Product ID]],products!$A$1:$A$49,products!$G$1:$G$49,,0)</f>
        <v>1.6335</v>
      </c>
      <c r="Q225" s="13">
        <f t="shared" si="16"/>
        <v>6.5339999999999998</v>
      </c>
      <c r="R225" t="str">
        <f t="shared" si="18"/>
        <v>Execelsa</v>
      </c>
      <c r="S225" t="str">
        <f t="shared" si="19"/>
        <v>Light</v>
      </c>
      <c r="T225" t="str">
        <f>_xlfn.XLOOKUP(Orders[[#This Row],[Customer ID]],customers!$A$1:$A$1001,customers!$I$1:$I$1001,,0)</f>
        <v>Yes</v>
      </c>
    </row>
    <row r="226" spans="1:20" x14ac:dyDescent="0.35">
      <c r="A226" s="2" t="s">
        <v>1753</v>
      </c>
      <c r="B226" s="3">
        <v>43836</v>
      </c>
      <c r="C226" s="2" t="s">
        <v>1754</v>
      </c>
      <c r="D226" t="s">
        <v>6165</v>
      </c>
      <c r="E226" t="str">
        <f t="shared" si="17"/>
        <v>Liberica-Dark-2.5</v>
      </c>
      <c r="F226" s="2">
        <v>4</v>
      </c>
      <c r="G226" s="2" t="str" cm="1">
        <f t="array" ref="G226">_xlfn.XLOOKUP(C226, customers!$A$1:A1225,customers!$B$1:B1225,,0)</f>
        <v>Ketty Bromehead</v>
      </c>
      <c r="H226" s="2" t="str" cm="1">
        <f t="array" ref="H226">IF(_xlfn.XLOOKUP(C226,customers!$A$1:A1225,customers!$C$1:C1225,,0) = 0,"", _xlfn.XLOOKUP(C226,customers!$A$1:A1225,customers!$C$1:C1225,,0))</f>
        <v>kbromehead68@un.org</v>
      </c>
      <c r="I226" s="2" t="str">
        <f>_xlfn.XLOOKUP(C226,customers!$A$1:$A$1001,customers!$G$1:$G$1001,,0)</f>
        <v>United States</v>
      </c>
      <c r="J226" s="2" t="str">
        <f>_xlfn.XLOOKUP(Orders[[#This Row],[Customer ID]],customers!$A$1:$A$1001,customers!$F$1:$F$1001,,0)</f>
        <v>New York City</v>
      </c>
      <c r="K226" t="str">
        <f>INDEX(products!$A$1:$G$49,MATCH(orders!$D226,products!$A$1:$A$49,0),MATCH(orders!K$1,products!$A$1:$G$1,0))</f>
        <v>Lib</v>
      </c>
      <c r="L226" t="str">
        <f>INDEX(products!$A$1:$G$49,MATCH(orders!$D226,products!$A$1:$A$49,0),MATCH(orders!L$1,products!$A$1:$G$1,0))</f>
        <v>D</v>
      </c>
      <c r="M226" s="14">
        <f>INDEX(products!$A$1:$G$49,MATCH(orders!$D226,products!$A$1:$A$49,0),MATCH(orders!M$1,products!$A$1:$G$1,0))</f>
        <v>2.5</v>
      </c>
      <c r="N226" s="4">
        <f>INDEX(products!$A$1:$G$49,MATCH(orders!$D226,products!$A$1:$A$49,0),MATCH(orders!N$1,products!$A$1:$G$1,0))</f>
        <v>29.784999999999997</v>
      </c>
      <c r="O226" s="13">
        <f t="shared" si="15"/>
        <v>119.13999999999999</v>
      </c>
      <c r="P226" s="13">
        <f>_xlfn.XLOOKUP(Orders[[#This Row],[Product ID]],products!$A$1:$A$49,products!$G$1:$G$49,,0)</f>
        <v>3.8720499999999998</v>
      </c>
      <c r="Q226" s="13">
        <f t="shared" si="16"/>
        <v>15.488199999999999</v>
      </c>
      <c r="R226" t="str">
        <f t="shared" si="18"/>
        <v>Liberica</v>
      </c>
      <c r="S226" t="str">
        <f t="shared" si="19"/>
        <v>Dark</v>
      </c>
      <c r="T226" t="str">
        <f>_xlfn.XLOOKUP(Orders[[#This Row],[Customer ID]],customers!$A$1:$A$1001,customers!$I$1:$I$1001,,0)</f>
        <v>Yes</v>
      </c>
    </row>
    <row r="227" spans="1:20" x14ac:dyDescent="0.35">
      <c r="A227" s="2" t="s">
        <v>1759</v>
      </c>
      <c r="B227" s="3">
        <v>44337</v>
      </c>
      <c r="C227" s="2" t="s">
        <v>1760</v>
      </c>
      <c r="D227" t="s">
        <v>6178</v>
      </c>
      <c r="E227" t="str">
        <f t="shared" si="17"/>
        <v>Robusta-Light-0.2</v>
      </c>
      <c r="F227" s="2">
        <v>4</v>
      </c>
      <c r="G227" s="2" t="str" cm="1">
        <f t="array" ref="G227">_xlfn.XLOOKUP(C227, customers!$A$1:A1226,customers!$B$1:B1226,,0)</f>
        <v>Elsbeth Westerman</v>
      </c>
      <c r="H227" s="2" t="str" cm="1">
        <f t="array" ref="H227">IF(_xlfn.XLOOKUP(C227,customers!$A$1:A1226,customers!$C$1:C1226,,0) = 0,"", _xlfn.XLOOKUP(C227,customers!$A$1:A1226,customers!$C$1:C1226,,0))</f>
        <v>ewesterman69@si.edu</v>
      </c>
      <c r="I227" s="2" t="str">
        <f>_xlfn.XLOOKUP(C227,customers!$A$1:$A$1001,customers!$G$1:$G$1001,,0)</f>
        <v>Ireland</v>
      </c>
      <c r="J227" s="2" t="str">
        <f>_xlfn.XLOOKUP(Orders[[#This Row],[Customer ID]],customers!$A$1:$A$1001,customers!$F$1:$F$1001,,0)</f>
        <v>Newmarket on Fergus</v>
      </c>
      <c r="K227" t="str">
        <f>INDEX(products!$A$1:$G$49,MATCH(orders!$D227,products!$A$1:$A$49,0),MATCH(orders!K$1,products!$A$1:$G$1,0))</f>
        <v>Rob</v>
      </c>
      <c r="L227" t="str">
        <f>INDEX(products!$A$1:$G$49,MATCH(orders!$D227,products!$A$1:$A$49,0),MATCH(orders!L$1,products!$A$1:$G$1,0))</f>
        <v>L</v>
      </c>
      <c r="M227" s="14">
        <f>INDEX(products!$A$1:$G$49,MATCH(orders!$D227,products!$A$1:$A$49,0),MATCH(orders!M$1,products!$A$1:$G$1,0))</f>
        <v>0.2</v>
      </c>
      <c r="N227" s="4">
        <f>INDEX(products!$A$1:$G$49,MATCH(orders!$D227,products!$A$1:$A$49,0),MATCH(orders!N$1,products!$A$1:$G$1,0))</f>
        <v>3.5849999999999995</v>
      </c>
      <c r="O227" s="13">
        <f t="shared" si="15"/>
        <v>14.339999999999998</v>
      </c>
      <c r="P227" s="13">
        <f>_xlfn.XLOOKUP(Orders[[#This Row],[Product ID]],products!$A$1:$A$49,products!$G$1:$G$49,,0)</f>
        <v>0.21509999999999996</v>
      </c>
      <c r="Q227" s="13">
        <f t="shared" si="16"/>
        <v>0.86039999999999983</v>
      </c>
      <c r="R227" t="str">
        <f t="shared" si="18"/>
        <v>Robusta</v>
      </c>
      <c r="S227" t="str">
        <f t="shared" si="19"/>
        <v>Light</v>
      </c>
      <c r="T227" t="str">
        <f>_xlfn.XLOOKUP(Orders[[#This Row],[Customer ID]],customers!$A$1:$A$1001,customers!$I$1:$I$1001,,0)</f>
        <v>No</v>
      </c>
    </row>
    <row r="228" spans="1:20" x14ac:dyDescent="0.35">
      <c r="A228" s="2" t="s">
        <v>1765</v>
      </c>
      <c r="B228" s="3">
        <v>43887</v>
      </c>
      <c r="C228" s="2" t="s">
        <v>1766</v>
      </c>
      <c r="D228" t="s">
        <v>6175</v>
      </c>
      <c r="E228" t="str">
        <f t="shared" si="17"/>
        <v>Arabica-Medium-2.5</v>
      </c>
      <c r="F228" s="2">
        <v>5</v>
      </c>
      <c r="G228" s="2" t="str" cm="1">
        <f t="array" ref="G228">_xlfn.XLOOKUP(C228, customers!$A$1:A1227,customers!$B$1:B1227,,0)</f>
        <v>Anabelle Hutchens</v>
      </c>
      <c r="H228" s="2" t="str" cm="1">
        <f t="array" ref="H228">IF(_xlfn.XLOOKUP(C228,customers!$A$1:A1227,customers!$C$1:C1227,,0) = 0,"", _xlfn.XLOOKUP(C228,customers!$A$1:A1227,customers!$C$1:C1227,,0))</f>
        <v>ahutchens6a@amazonaws.com</v>
      </c>
      <c r="I228" s="2" t="str">
        <f>_xlfn.XLOOKUP(C228,customers!$A$1:$A$1001,customers!$G$1:$G$1001,,0)</f>
        <v>United States</v>
      </c>
      <c r="J228" s="2" t="str">
        <f>_xlfn.XLOOKUP(Orders[[#This Row],[Customer ID]],customers!$A$1:$A$1001,customers!$F$1:$F$1001,,0)</f>
        <v>Shawnee Mission</v>
      </c>
      <c r="K228" t="str">
        <f>INDEX(products!$A$1:$G$49,MATCH(orders!$D228,products!$A$1:$A$49,0),MATCH(orders!K$1,products!$A$1:$G$1,0))</f>
        <v>Ara</v>
      </c>
      <c r="L228" t="str">
        <f>INDEX(products!$A$1:$G$49,MATCH(orders!$D228,products!$A$1:$A$49,0),MATCH(orders!L$1,products!$A$1:$G$1,0))</f>
        <v>M</v>
      </c>
      <c r="M228" s="14">
        <f>INDEX(products!$A$1:$G$49,MATCH(orders!$D228,products!$A$1:$A$49,0),MATCH(orders!M$1,products!$A$1:$G$1,0))</f>
        <v>2.5</v>
      </c>
      <c r="N228" s="4">
        <f>INDEX(products!$A$1:$G$49,MATCH(orders!$D228,products!$A$1:$A$49,0),MATCH(orders!N$1,products!$A$1:$G$1,0))</f>
        <v>25.874999999999996</v>
      </c>
      <c r="O228" s="13">
        <f t="shared" si="15"/>
        <v>129.37499999999997</v>
      </c>
      <c r="P228" s="13">
        <f>_xlfn.XLOOKUP(Orders[[#This Row],[Product ID]],products!$A$1:$A$49,products!$G$1:$G$49,,0)</f>
        <v>2.3287499999999994</v>
      </c>
      <c r="Q228" s="13">
        <f t="shared" si="16"/>
        <v>11.643749999999997</v>
      </c>
      <c r="R228" t="str">
        <f t="shared" si="18"/>
        <v>Arabica</v>
      </c>
      <c r="S228" t="str">
        <f t="shared" si="19"/>
        <v>Medium</v>
      </c>
      <c r="T228" t="str">
        <f>_xlfn.XLOOKUP(Orders[[#This Row],[Customer ID]],customers!$A$1:$A$1001,customers!$I$1:$I$1001,,0)</f>
        <v>No</v>
      </c>
    </row>
    <row r="229" spans="1:20" x14ac:dyDescent="0.35">
      <c r="A229" s="2" t="s">
        <v>1771</v>
      </c>
      <c r="B229" s="3">
        <v>43880</v>
      </c>
      <c r="C229" s="2" t="s">
        <v>1772</v>
      </c>
      <c r="D229" t="s">
        <v>6163</v>
      </c>
      <c r="E229" t="str">
        <f t="shared" si="17"/>
        <v>Robusta-Dark-0.2</v>
      </c>
      <c r="F229" s="2">
        <v>6</v>
      </c>
      <c r="G229" s="2" t="str" cm="1">
        <f t="array" ref="G229">_xlfn.XLOOKUP(C229, customers!$A$1:A1228,customers!$B$1:B1228,,0)</f>
        <v>Noak Wyvill</v>
      </c>
      <c r="H229" s="2" t="str" cm="1">
        <f t="array" ref="H229">IF(_xlfn.XLOOKUP(C229,customers!$A$1:A1228,customers!$C$1:C1228,,0) = 0,"", _xlfn.XLOOKUP(C229,customers!$A$1:A1228,customers!$C$1:C1228,,0))</f>
        <v>nwyvill6b@naver.com</v>
      </c>
      <c r="I229" s="2" t="str">
        <f>_xlfn.XLOOKUP(C229,customers!$A$1:$A$1001,customers!$G$1:$G$1001,,0)</f>
        <v>United Kingdom</v>
      </c>
      <c r="J229" s="2" t="str">
        <f>_xlfn.XLOOKUP(Orders[[#This Row],[Customer ID]],customers!$A$1:$A$1001,customers!$F$1:$F$1001,,0)</f>
        <v>Edinburgh</v>
      </c>
      <c r="K229" t="str">
        <f>INDEX(products!$A$1:$G$49,MATCH(orders!$D229,products!$A$1:$A$49,0),MATCH(orders!K$1,products!$A$1:$G$1,0))</f>
        <v>Rob</v>
      </c>
      <c r="L229" t="str">
        <f>INDEX(products!$A$1:$G$49,MATCH(orders!$D229,products!$A$1:$A$49,0),MATCH(orders!L$1,products!$A$1:$G$1,0))</f>
        <v>D</v>
      </c>
      <c r="M229" s="14">
        <f>INDEX(products!$A$1:$G$49,MATCH(orders!$D229,products!$A$1:$A$49,0),MATCH(orders!M$1,products!$A$1:$G$1,0))</f>
        <v>0.2</v>
      </c>
      <c r="N229" s="4">
        <f>INDEX(products!$A$1:$G$49,MATCH(orders!$D229,products!$A$1:$A$49,0),MATCH(orders!N$1,products!$A$1:$G$1,0))</f>
        <v>2.6849999999999996</v>
      </c>
      <c r="O229" s="13">
        <f t="shared" si="15"/>
        <v>16.11</v>
      </c>
      <c r="P229" s="13">
        <f>_xlfn.XLOOKUP(Orders[[#This Row],[Product ID]],products!$A$1:$A$49,products!$G$1:$G$49,,0)</f>
        <v>0.16109999999999997</v>
      </c>
      <c r="Q229" s="13">
        <f t="shared" si="16"/>
        <v>0.96659999999999979</v>
      </c>
      <c r="R229" t="str">
        <f t="shared" si="18"/>
        <v>Robusta</v>
      </c>
      <c r="S229" t="str">
        <f t="shared" si="19"/>
        <v>Dark</v>
      </c>
      <c r="T229" t="str">
        <f>_xlfn.XLOOKUP(Orders[[#This Row],[Customer ID]],customers!$A$1:$A$1001,customers!$I$1:$I$1001,,0)</f>
        <v>Yes</v>
      </c>
    </row>
    <row r="230" spans="1:20" x14ac:dyDescent="0.35">
      <c r="A230" s="2" t="s">
        <v>1777</v>
      </c>
      <c r="B230" s="3">
        <v>44376</v>
      </c>
      <c r="C230" s="2" t="s">
        <v>1778</v>
      </c>
      <c r="D230" t="s">
        <v>6178</v>
      </c>
      <c r="E230" t="str">
        <f t="shared" si="17"/>
        <v>Robusta-Light-0.2</v>
      </c>
      <c r="F230" s="2">
        <v>5</v>
      </c>
      <c r="G230" s="2" t="str" cm="1">
        <f t="array" ref="G230">_xlfn.XLOOKUP(C230, customers!$A$1:A1229,customers!$B$1:B1229,,0)</f>
        <v>Beltran Mathon</v>
      </c>
      <c r="H230" s="2" t="str" cm="1">
        <f t="array" ref="H230">IF(_xlfn.XLOOKUP(C230,customers!$A$1:A1229,customers!$C$1:C1229,,0) = 0,"", _xlfn.XLOOKUP(C230,customers!$A$1:A1229,customers!$C$1:C1229,,0))</f>
        <v>bmathon6c@barnesandnoble.com</v>
      </c>
      <c r="I230" s="2" t="str">
        <f>_xlfn.XLOOKUP(C230,customers!$A$1:$A$1001,customers!$G$1:$G$1001,,0)</f>
        <v>United States</v>
      </c>
      <c r="J230" s="2" t="str">
        <f>_xlfn.XLOOKUP(Orders[[#This Row],[Customer ID]],customers!$A$1:$A$1001,customers!$F$1:$F$1001,,0)</f>
        <v>Sacramento</v>
      </c>
      <c r="K230" t="str">
        <f>INDEX(products!$A$1:$G$49,MATCH(orders!$D230,products!$A$1:$A$49,0),MATCH(orders!K$1,products!$A$1:$G$1,0))</f>
        <v>Rob</v>
      </c>
      <c r="L230" t="str">
        <f>INDEX(products!$A$1:$G$49,MATCH(orders!$D230,products!$A$1:$A$49,0),MATCH(orders!L$1,products!$A$1:$G$1,0))</f>
        <v>L</v>
      </c>
      <c r="M230" s="14">
        <f>INDEX(products!$A$1:$G$49,MATCH(orders!$D230,products!$A$1:$A$49,0),MATCH(orders!M$1,products!$A$1:$G$1,0))</f>
        <v>0.2</v>
      </c>
      <c r="N230" s="4">
        <f>INDEX(products!$A$1:$G$49,MATCH(orders!$D230,products!$A$1:$A$49,0),MATCH(orders!N$1,products!$A$1:$G$1,0))</f>
        <v>3.5849999999999995</v>
      </c>
      <c r="O230" s="13">
        <f t="shared" si="15"/>
        <v>17.924999999999997</v>
      </c>
      <c r="P230" s="13">
        <f>_xlfn.XLOOKUP(Orders[[#This Row],[Product ID]],products!$A$1:$A$49,products!$G$1:$G$49,,0)</f>
        <v>0.21509999999999996</v>
      </c>
      <c r="Q230" s="13">
        <f t="shared" si="16"/>
        <v>1.0754999999999999</v>
      </c>
      <c r="R230" t="str">
        <f t="shared" si="18"/>
        <v>Robusta</v>
      </c>
      <c r="S230" t="str">
        <f t="shared" si="19"/>
        <v>Light</v>
      </c>
      <c r="T230" t="str">
        <f>_xlfn.XLOOKUP(Orders[[#This Row],[Customer ID]],customers!$A$1:$A$1001,customers!$I$1:$I$1001,,0)</f>
        <v>No</v>
      </c>
    </row>
    <row r="231" spans="1:20" x14ac:dyDescent="0.35">
      <c r="A231" s="2" t="s">
        <v>1783</v>
      </c>
      <c r="B231" s="3">
        <v>44282</v>
      </c>
      <c r="C231" s="2" t="s">
        <v>1784</v>
      </c>
      <c r="D231" t="s">
        <v>6159</v>
      </c>
      <c r="E231" t="str">
        <f t="shared" si="17"/>
        <v>Liberica-Medium-0.2</v>
      </c>
      <c r="F231" s="2">
        <v>2</v>
      </c>
      <c r="G231" s="2" t="str" cm="1">
        <f t="array" ref="G231">_xlfn.XLOOKUP(C231, customers!$A$1:A1230,customers!$B$1:B1230,,0)</f>
        <v>Kristos Streight</v>
      </c>
      <c r="H231" s="2" t="str" cm="1">
        <f t="array" ref="H231">IF(_xlfn.XLOOKUP(C231,customers!$A$1:A1230,customers!$C$1:C1230,,0) = 0,"", _xlfn.XLOOKUP(C231,customers!$A$1:A1230,customers!$C$1:C1230,,0))</f>
        <v>kstreight6d@about.com</v>
      </c>
      <c r="I231" s="2" t="str">
        <f>_xlfn.XLOOKUP(C231,customers!$A$1:$A$1001,customers!$G$1:$G$1001,,0)</f>
        <v>United States</v>
      </c>
      <c r="J231" s="2" t="str">
        <f>_xlfn.XLOOKUP(Orders[[#This Row],[Customer ID]],customers!$A$1:$A$1001,customers!$F$1:$F$1001,,0)</f>
        <v>Wilkes Barre</v>
      </c>
      <c r="K231" t="str">
        <f>INDEX(products!$A$1:$G$49,MATCH(orders!$D231,products!$A$1:$A$49,0),MATCH(orders!K$1,products!$A$1:$G$1,0))</f>
        <v>Lib</v>
      </c>
      <c r="L231" t="str">
        <f>INDEX(products!$A$1:$G$49,MATCH(orders!$D231,products!$A$1:$A$49,0),MATCH(orders!L$1,products!$A$1:$G$1,0))</f>
        <v>M</v>
      </c>
      <c r="M231" s="14">
        <f>INDEX(products!$A$1:$G$49,MATCH(orders!$D231,products!$A$1:$A$49,0),MATCH(orders!M$1,products!$A$1:$G$1,0))</f>
        <v>0.2</v>
      </c>
      <c r="N231" s="4">
        <f>INDEX(products!$A$1:$G$49,MATCH(orders!$D231,products!$A$1:$A$49,0),MATCH(orders!N$1,products!$A$1:$G$1,0))</f>
        <v>4.3650000000000002</v>
      </c>
      <c r="O231" s="13">
        <f t="shared" si="15"/>
        <v>8.73</v>
      </c>
      <c r="P231" s="13">
        <f>_xlfn.XLOOKUP(Orders[[#This Row],[Product ID]],products!$A$1:$A$49,products!$G$1:$G$49,,0)</f>
        <v>0.56745000000000001</v>
      </c>
      <c r="Q231" s="13">
        <f t="shared" si="16"/>
        <v>1.1349</v>
      </c>
      <c r="R231" t="str">
        <f t="shared" si="18"/>
        <v>Liberica</v>
      </c>
      <c r="S231" t="str">
        <f t="shared" si="19"/>
        <v>Medium</v>
      </c>
      <c r="T231" t="str">
        <f>_xlfn.XLOOKUP(Orders[[#This Row],[Customer ID]],customers!$A$1:$A$1001,customers!$I$1:$I$1001,,0)</f>
        <v>No</v>
      </c>
    </row>
    <row r="232" spans="1:20" x14ac:dyDescent="0.35">
      <c r="A232" s="2" t="s">
        <v>1789</v>
      </c>
      <c r="B232" s="3">
        <v>44496</v>
      </c>
      <c r="C232" s="2" t="s">
        <v>1790</v>
      </c>
      <c r="D232" t="s">
        <v>6175</v>
      </c>
      <c r="E232" t="str">
        <f t="shared" si="17"/>
        <v>Arabica-Medium-2.5</v>
      </c>
      <c r="F232" s="2">
        <v>2</v>
      </c>
      <c r="G232" s="2" t="str" cm="1">
        <f t="array" ref="G232">_xlfn.XLOOKUP(C232, customers!$A$1:A1231,customers!$B$1:B1231,,0)</f>
        <v>Portie Cutchie</v>
      </c>
      <c r="H232" s="2" t="str" cm="1">
        <f t="array" ref="H232">IF(_xlfn.XLOOKUP(C232,customers!$A$1:A1231,customers!$C$1:C1231,,0) = 0,"", _xlfn.XLOOKUP(C232,customers!$A$1:A1231,customers!$C$1:C1231,,0))</f>
        <v>pcutchie6e@globo.com</v>
      </c>
      <c r="I232" s="2" t="str">
        <f>_xlfn.XLOOKUP(C232,customers!$A$1:$A$1001,customers!$G$1:$G$1001,,0)</f>
        <v>United States</v>
      </c>
      <c r="J232" s="2" t="str">
        <f>_xlfn.XLOOKUP(Orders[[#This Row],[Customer ID]],customers!$A$1:$A$1001,customers!$F$1:$F$1001,,0)</f>
        <v>Greensboro</v>
      </c>
      <c r="K232" t="str">
        <f>INDEX(products!$A$1:$G$49,MATCH(orders!$D232,products!$A$1:$A$49,0),MATCH(orders!K$1,products!$A$1:$G$1,0))</f>
        <v>Ara</v>
      </c>
      <c r="L232" t="str">
        <f>INDEX(products!$A$1:$G$49,MATCH(orders!$D232,products!$A$1:$A$49,0),MATCH(orders!L$1,products!$A$1:$G$1,0))</f>
        <v>M</v>
      </c>
      <c r="M232" s="14">
        <f>INDEX(products!$A$1:$G$49,MATCH(orders!$D232,products!$A$1:$A$49,0),MATCH(orders!M$1,products!$A$1:$G$1,0))</f>
        <v>2.5</v>
      </c>
      <c r="N232" s="4">
        <f>INDEX(products!$A$1:$G$49,MATCH(orders!$D232,products!$A$1:$A$49,0),MATCH(orders!N$1,products!$A$1:$G$1,0))</f>
        <v>25.874999999999996</v>
      </c>
      <c r="O232" s="13">
        <f t="shared" si="15"/>
        <v>51.749999999999993</v>
      </c>
      <c r="P232" s="13">
        <f>_xlfn.XLOOKUP(Orders[[#This Row],[Product ID]],products!$A$1:$A$49,products!$G$1:$G$49,,0)</f>
        <v>2.3287499999999994</v>
      </c>
      <c r="Q232" s="13">
        <f t="shared" si="16"/>
        <v>4.6574999999999989</v>
      </c>
      <c r="R232" t="str">
        <f t="shared" si="18"/>
        <v>Arabica</v>
      </c>
      <c r="S232" t="str">
        <f t="shared" si="19"/>
        <v>Medium</v>
      </c>
      <c r="T232" t="str">
        <f>_xlfn.XLOOKUP(Orders[[#This Row],[Customer ID]],customers!$A$1:$A$1001,customers!$I$1:$I$1001,,0)</f>
        <v>No</v>
      </c>
    </row>
    <row r="233" spans="1:20" x14ac:dyDescent="0.35">
      <c r="A233" s="2" t="s">
        <v>1795</v>
      </c>
      <c r="B233" s="3">
        <v>43628</v>
      </c>
      <c r="C233" s="2" t="s">
        <v>1796</v>
      </c>
      <c r="D233" t="s">
        <v>6159</v>
      </c>
      <c r="E233" t="str">
        <f t="shared" si="17"/>
        <v>Liberica-Medium-0.2</v>
      </c>
      <c r="F233" s="2">
        <v>2</v>
      </c>
      <c r="G233" s="2" t="str" cm="1">
        <f t="array" ref="G233">_xlfn.XLOOKUP(C233, customers!$A$1:A1232,customers!$B$1:B1232,,0)</f>
        <v>Sinclare Edsell</v>
      </c>
      <c r="H233" s="2" t="str" cm="1">
        <f t="array" ref="H233">IF(_xlfn.XLOOKUP(C233,customers!$A$1:A1232,customers!$C$1:C1232,,0) = 0,"", _xlfn.XLOOKUP(C233,customers!$A$1:A1232,customers!$C$1:C1232,,0))</f>
        <v/>
      </c>
      <c r="I233" s="2" t="str">
        <f>_xlfn.XLOOKUP(C233,customers!$A$1:$A$1001,customers!$G$1:$G$1001,,0)</f>
        <v>United States</v>
      </c>
      <c r="J233" s="2" t="str">
        <f>_xlfn.XLOOKUP(Orders[[#This Row],[Customer ID]],customers!$A$1:$A$1001,customers!$F$1:$F$1001,,0)</f>
        <v>Newark</v>
      </c>
      <c r="K233" t="str">
        <f>INDEX(products!$A$1:$G$49,MATCH(orders!$D233,products!$A$1:$A$49,0),MATCH(orders!K$1,products!$A$1:$G$1,0))</f>
        <v>Lib</v>
      </c>
      <c r="L233" t="str">
        <f>INDEX(products!$A$1:$G$49,MATCH(orders!$D233,products!$A$1:$A$49,0),MATCH(orders!L$1,products!$A$1:$G$1,0))</f>
        <v>M</v>
      </c>
      <c r="M233" s="14">
        <f>INDEX(products!$A$1:$G$49,MATCH(orders!$D233,products!$A$1:$A$49,0),MATCH(orders!M$1,products!$A$1:$G$1,0))</f>
        <v>0.2</v>
      </c>
      <c r="N233" s="4">
        <f>INDEX(products!$A$1:$G$49,MATCH(orders!$D233,products!$A$1:$A$49,0),MATCH(orders!N$1,products!$A$1:$G$1,0))</f>
        <v>4.3650000000000002</v>
      </c>
      <c r="O233" s="13">
        <f t="shared" si="15"/>
        <v>8.73</v>
      </c>
      <c r="P233" s="13">
        <f>_xlfn.XLOOKUP(Orders[[#This Row],[Product ID]],products!$A$1:$A$49,products!$G$1:$G$49,,0)</f>
        <v>0.56745000000000001</v>
      </c>
      <c r="Q233" s="13">
        <f t="shared" si="16"/>
        <v>1.1349</v>
      </c>
      <c r="R233" t="str">
        <f t="shared" si="18"/>
        <v>Liberica</v>
      </c>
      <c r="S233" t="str">
        <f t="shared" si="19"/>
        <v>Medium</v>
      </c>
      <c r="T233" t="str">
        <f>_xlfn.XLOOKUP(Orders[[#This Row],[Customer ID]],customers!$A$1:$A$1001,customers!$I$1:$I$1001,,0)</f>
        <v>Yes</v>
      </c>
    </row>
    <row r="234" spans="1:20" x14ac:dyDescent="0.35">
      <c r="A234" s="2" t="s">
        <v>1800</v>
      </c>
      <c r="B234" s="3">
        <v>44010</v>
      </c>
      <c r="C234" s="2" t="s">
        <v>1801</v>
      </c>
      <c r="D234" t="s">
        <v>6145</v>
      </c>
      <c r="E234" t="str">
        <f t="shared" si="17"/>
        <v>Liberica-Light-0.2</v>
      </c>
      <c r="F234" s="2">
        <v>5</v>
      </c>
      <c r="G234" s="2" t="str" cm="1">
        <f t="array" ref="G234">_xlfn.XLOOKUP(C234, customers!$A$1:A1233,customers!$B$1:B1233,,0)</f>
        <v>Conny Gheraldi</v>
      </c>
      <c r="H234" s="2" t="str" cm="1">
        <f t="array" ref="H234">IF(_xlfn.XLOOKUP(C234,customers!$A$1:A1233,customers!$C$1:C1233,,0) = 0,"", _xlfn.XLOOKUP(C234,customers!$A$1:A1233,customers!$C$1:C1233,,0))</f>
        <v>cgheraldi6g@opera.com</v>
      </c>
      <c r="I234" s="2" t="str">
        <f>_xlfn.XLOOKUP(C234,customers!$A$1:$A$1001,customers!$G$1:$G$1001,,0)</f>
        <v>United Kingdom</v>
      </c>
      <c r="J234" s="2" t="str">
        <f>_xlfn.XLOOKUP(Orders[[#This Row],[Customer ID]],customers!$A$1:$A$1001,customers!$F$1:$F$1001,,0)</f>
        <v>Kinloch</v>
      </c>
      <c r="K234" t="str">
        <f>INDEX(products!$A$1:$G$49,MATCH(orders!$D234,products!$A$1:$A$49,0),MATCH(orders!K$1,products!$A$1:$G$1,0))</f>
        <v>Lib</v>
      </c>
      <c r="L234" t="str">
        <f>INDEX(products!$A$1:$G$49,MATCH(orders!$D234,products!$A$1:$A$49,0),MATCH(orders!L$1,products!$A$1:$G$1,0))</f>
        <v>L</v>
      </c>
      <c r="M234" s="14">
        <f>INDEX(products!$A$1:$G$49,MATCH(orders!$D234,products!$A$1:$A$49,0),MATCH(orders!M$1,products!$A$1:$G$1,0))</f>
        <v>0.2</v>
      </c>
      <c r="N234" s="4">
        <f>INDEX(products!$A$1:$G$49,MATCH(orders!$D234,products!$A$1:$A$49,0),MATCH(orders!N$1,products!$A$1:$G$1,0))</f>
        <v>4.7549999999999999</v>
      </c>
      <c r="O234" s="13">
        <f t="shared" si="15"/>
        <v>23.774999999999999</v>
      </c>
      <c r="P234" s="13">
        <f>_xlfn.XLOOKUP(Orders[[#This Row],[Product ID]],products!$A$1:$A$49,products!$G$1:$G$49,,0)</f>
        <v>0.61814999999999998</v>
      </c>
      <c r="Q234" s="13">
        <f t="shared" si="16"/>
        <v>3.0907499999999999</v>
      </c>
      <c r="R234" t="str">
        <f t="shared" si="18"/>
        <v>Liberica</v>
      </c>
      <c r="S234" t="str">
        <f t="shared" si="19"/>
        <v>Light</v>
      </c>
      <c r="T234" t="str">
        <f>_xlfn.XLOOKUP(Orders[[#This Row],[Customer ID]],customers!$A$1:$A$1001,customers!$I$1:$I$1001,,0)</f>
        <v>No</v>
      </c>
    </row>
    <row r="235" spans="1:20" x14ac:dyDescent="0.35">
      <c r="A235" s="2" t="s">
        <v>1806</v>
      </c>
      <c r="B235" s="3">
        <v>44278</v>
      </c>
      <c r="C235" s="2" t="s">
        <v>1807</v>
      </c>
      <c r="D235" t="s">
        <v>6156</v>
      </c>
      <c r="E235" t="str">
        <f t="shared" si="17"/>
        <v>Excelsa-Medium-0.2</v>
      </c>
      <c r="F235" s="2">
        <v>5</v>
      </c>
      <c r="G235" s="2" t="str" cm="1">
        <f t="array" ref="G235">_xlfn.XLOOKUP(C235, customers!$A$1:A1234,customers!$B$1:B1234,,0)</f>
        <v>Beryle Kenwell</v>
      </c>
      <c r="H235" s="2" t="str" cm="1">
        <f t="array" ref="H235">IF(_xlfn.XLOOKUP(C235,customers!$A$1:A1234,customers!$C$1:C1234,,0) = 0,"", _xlfn.XLOOKUP(C235,customers!$A$1:A1234,customers!$C$1:C1234,,0))</f>
        <v>bkenwell6h@over-blog.com</v>
      </c>
      <c r="I235" s="2" t="str">
        <f>_xlfn.XLOOKUP(C235,customers!$A$1:$A$1001,customers!$G$1:$G$1001,,0)</f>
        <v>United States</v>
      </c>
      <c r="J235" s="2" t="str">
        <f>_xlfn.XLOOKUP(Orders[[#This Row],[Customer ID]],customers!$A$1:$A$1001,customers!$F$1:$F$1001,,0)</f>
        <v>Honolulu</v>
      </c>
      <c r="K235" t="str">
        <f>INDEX(products!$A$1:$G$49,MATCH(orders!$D235,products!$A$1:$A$49,0),MATCH(orders!K$1,products!$A$1:$G$1,0))</f>
        <v>Exc</v>
      </c>
      <c r="L235" t="str">
        <f>INDEX(products!$A$1:$G$49,MATCH(orders!$D235,products!$A$1:$A$49,0),MATCH(orders!L$1,products!$A$1:$G$1,0))</f>
        <v>M</v>
      </c>
      <c r="M235" s="14">
        <f>INDEX(products!$A$1:$G$49,MATCH(orders!$D235,products!$A$1:$A$49,0),MATCH(orders!M$1,products!$A$1:$G$1,0))</f>
        <v>0.2</v>
      </c>
      <c r="N235" s="4">
        <f>INDEX(products!$A$1:$G$49,MATCH(orders!$D235,products!$A$1:$A$49,0),MATCH(orders!N$1,products!$A$1:$G$1,0))</f>
        <v>4.125</v>
      </c>
      <c r="O235" s="13">
        <f t="shared" si="15"/>
        <v>20.625</v>
      </c>
      <c r="P235" s="13">
        <f>_xlfn.XLOOKUP(Orders[[#This Row],[Product ID]],products!$A$1:$A$49,products!$G$1:$G$49,,0)</f>
        <v>0.45374999999999999</v>
      </c>
      <c r="Q235" s="13">
        <f t="shared" si="16"/>
        <v>2.2687499999999998</v>
      </c>
      <c r="R235" t="str">
        <f t="shared" si="18"/>
        <v>Execelsa</v>
      </c>
      <c r="S235" t="str">
        <f t="shared" si="19"/>
        <v>Medium</v>
      </c>
      <c r="T235" t="str">
        <f>_xlfn.XLOOKUP(Orders[[#This Row],[Customer ID]],customers!$A$1:$A$1001,customers!$I$1:$I$1001,,0)</f>
        <v>No</v>
      </c>
    </row>
    <row r="236" spans="1:20" x14ac:dyDescent="0.35">
      <c r="A236" s="2" t="s">
        <v>1812</v>
      </c>
      <c r="B236" s="3">
        <v>44602</v>
      </c>
      <c r="C236" s="2" t="s">
        <v>1813</v>
      </c>
      <c r="D236" t="s">
        <v>6164</v>
      </c>
      <c r="E236" t="str">
        <f t="shared" si="17"/>
        <v>Liberica-Light-2.5</v>
      </c>
      <c r="F236" s="2">
        <v>1</v>
      </c>
      <c r="G236" s="2" t="str" cm="1">
        <f t="array" ref="G236">_xlfn.XLOOKUP(C236, customers!$A$1:A1235,customers!$B$1:B1235,,0)</f>
        <v>Tomas Sutty</v>
      </c>
      <c r="H236" s="2" t="str" cm="1">
        <f t="array" ref="H236">IF(_xlfn.XLOOKUP(C236,customers!$A$1:A1235,customers!$C$1:C1235,,0) = 0,"", _xlfn.XLOOKUP(C236,customers!$A$1:A1235,customers!$C$1:C1235,,0))</f>
        <v>tsutty6i@google.es</v>
      </c>
      <c r="I236" s="2" t="str">
        <f>_xlfn.XLOOKUP(C236,customers!$A$1:$A$1001,customers!$G$1:$G$1001,,0)</f>
        <v>United States</v>
      </c>
      <c r="J236" s="2" t="str">
        <f>_xlfn.XLOOKUP(Orders[[#This Row],[Customer ID]],customers!$A$1:$A$1001,customers!$F$1:$F$1001,,0)</f>
        <v>New York City</v>
      </c>
      <c r="K236" t="str">
        <f>INDEX(products!$A$1:$G$49,MATCH(orders!$D236,products!$A$1:$A$49,0),MATCH(orders!K$1,products!$A$1:$G$1,0))</f>
        <v>Lib</v>
      </c>
      <c r="L236" t="str">
        <f>INDEX(products!$A$1:$G$49,MATCH(orders!$D236,products!$A$1:$A$49,0),MATCH(orders!L$1,products!$A$1:$G$1,0))</f>
        <v>L</v>
      </c>
      <c r="M236" s="14">
        <f>INDEX(products!$A$1:$G$49,MATCH(orders!$D236,products!$A$1:$A$49,0),MATCH(orders!M$1,products!$A$1:$G$1,0))</f>
        <v>2.5</v>
      </c>
      <c r="N236" s="4">
        <f>INDEX(products!$A$1:$G$49,MATCH(orders!$D236,products!$A$1:$A$49,0),MATCH(orders!N$1,products!$A$1:$G$1,0))</f>
        <v>36.454999999999998</v>
      </c>
      <c r="O236" s="13">
        <f t="shared" si="15"/>
        <v>36.454999999999998</v>
      </c>
      <c r="P236" s="13">
        <f>_xlfn.XLOOKUP(Orders[[#This Row],[Product ID]],products!$A$1:$A$49,products!$G$1:$G$49,,0)</f>
        <v>4.7391499999999995</v>
      </c>
      <c r="Q236" s="13">
        <f t="shared" si="16"/>
        <v>4.7391499999999995</v>
      </c>
      <c r="R236" t="str">
        <f t="shared" si="18"/>
        <v>Liberica</v>
      </c>
      <c r="S236" t="str">
        <f t="shared" si="19"/>
        <v>Light</v>
      </c>
      <c r="T236" t="str">
        <f>_xlfn.XLOOKUP(Orders[[#This Row],[Customer ID]],customers!$A$1:$A$1001,customers!$I$1:$I$1001,,0)</f>
        <v>No</v>
      </c>
    </row>
    <row r="237" spans="1:20" x14ac:dyDescent="0.35">
      <c r="A237" s="2" t="s">
        <v>1818</v>
      </c>
      <c r="B237" s="3">
        <v>43571</v>
      </c>
      <c r="C237" s="2" t="s">
        <v>1819</v>
      </c>
      <c r="D237" t="s">
        <v>6164</v>
      </c>
      <c r="E237" t="str">
        <f t="shared" si="17"/>
        <v>Liberica-Light-2.5</v>
      </c>
      <c r="F237" s="2">
        <v>5</v>
      </c>
      <c r="G237" s="2" t="str" cm="1">
        <f t="array" ref="G237">_xlfn.XLOOKUP(C237, customers!$A$1:A1236,customers!$B$1:B1236,,0)</f>
        <v>Samuele Ales0</v>
      </c>
      <c r="H237" s="2" t="str" cm="1">
        <f t="array" ref="H237">IF(_xlfn.XLOOKUP(C237,customers!$A$1:A1236,customers!$C$1:C1236,,0) = 0,"", _xlfn.XLOOKUP(C237,customers!$A$1:A1236,customers!$C$1:C1236,,0))</f>
        <v/>
      </c>
      <c r="I237" s="2" t="str">
        <f>_xlfn.XLOOKUP(C237,customers!$A$1:$A$1001,customers!$G$1:$G$1001,,0)</f>
        <v>Ireland</v>
      </c>
      <c r="J237" s="2" t="str">
        <f>_xlfn.XLOOKUP(Orders[[#This Row],[Customer ID]],customers!$A$1:$A$1001,customers!$F$1:$F$1001,,0)</f>
        <v>Ballinroad</v>
      </c>
      <c r="K237" t="str">
        <f>INDEX(products!$A$1:$G$49,MATCH(orders!$D237,products!$A$1:$A$49,0),MATCH(orders!K$1,products!$A$1:$G$1,0))</f>
        <v>Lib</v>
      </c>
      <c r="L237" t="str">
        <f>INDEX(products!$A$1:$G$49,MATCH(orders!$D237,products!$A$1:$A$49,0),MATCH(orders!L$1,products!$A$1:$G$1,0))</f>
        <v>L</v>
      </c>
      <c r="M237" s="14">
        <f>INDEX(products!$A$1:$G$49,MATCH(orders!$D237,products!$A$1:$A$49,0),MATCH(orders!M$1,products!$A$1:$G$1,0))</f>
        <v>2.5</v>
      </c>
      <c r="N237" s="4">
        <f>INDEX(products!$A$1:$G$49,MATCH(orders!$D237,products!$A$1:$A$49,0),MATCH(orders!N$1,products!$A$1:$G$1,0))</f>
        <v>36.454999999999998</v>
      </c>
      <c r="O237" s="13">
        <f t="shared" si="15"/>
        <v>182.27499999999998</v>
      </c>
      <c r="P237" s="13">
        <f>_xlfn.XLOOKUP(Orders[[#This Row],[Product ID]],products!$A$1:$A$49,products!$G$1:$G$49,,0)</f>
        <v>4.7391499999999995</v>
      </c>
      <c r="Q237" s="13">
        <f t="shared" si="16"/>
        <v>23.695749999999997</v>
      </c>
      <c r="R237" t="str">
        <f t="shared" si="18"/>
        <v>Liberica</v>
      </c>
      <c r="S237" t="str">
        <f t="shared" si="19"/>
        <v>Light</v>
      </c>
      <c r="T237" t="str">
        <f>_xlfn.XLOOKUP(Orders[[#This Row],[Customer ID]],customers!$A$1:$A$1001,customers!$I$1:$I$1001,,0)</f>
        <v>No</v>
      </c>
    </row>
    <row r="238" spans="1:20" x14ac:dyDescent="0.35">
      <c r="A238" s="2" t="s">
        <v>1822</v>
      </c>
      <c r="B238" s="3">
        <v>43873</v>
      </c>
      <c r="C238" s="2" t="s">
        <v>1823</v>
      </c>
      <c r="D238" t="s">
        <v>6165</v>
      </c>
      <c r="E238" t="str">
        <f t="shared" si="17"/>
        <v>Liberica-Dark-2.5</v>
      </c>
      <c r="F238" s="2">
        <v>3</v>
      </c>
      <c r="G238" s="2" t="str" cm="1">
        <f t="array" ref="G238">_xlfn.XLOOKUP(C238, customers!$A$1:A1237,customers!$B$1:B1237,,0)</f>
        <v>Carlie Harce</v>
      </c>
      <c r="H238" s="2" t="str" cm="1">
        <f t="array" ref="H238">IF(_xlfn.XLOOKUP(C238,customers!$A$1:A1237,customers!$C$1:C1237,,0) = 0,"", _xlfn.XLOOKUP(C238,customers!$A$1:A1237,customers!$C$1:C1237,,0))</f>
        <v>charce6k@cafepress.com</v>
      </c>
      <c r="I238" s="2" t="str">
        <f>_xlfn.XLOOKUP(C238,customers!$A$1:$A$1001,customers!$G$1:$G$1001,,0)</f>
        <v>Ireland</v>
      </c>
      <c r="J238" s="2" t="str">
        <f>_xlfn.XLOOKUP(Orders[[#This Row],[Customer ID]],customers!$A$1:$A$1001,customers!$F$1:$F$1001,,0)</f>
        <v>D煤n Laoghaire</v>
      </c>
      <c r="K238" t="str">
        <f>INDEX(products!$A$1:$G$49,MATCH(orders!$D238,products!$A$1:$A$49,0),MATCH(orders!K$1,products!$A$1:$G$1,0))</f>
        <v>Lib</v>
      </c>
      <c r="L238" t="str">
        <f>INDEX(products!$A$1:$G$49,MATCH(orders!$D238,products!$A$1:$A$49,0),MATCH(orders!L$1,products!$A$1:$G$1,0))</f>
        <v>D</v>
      </c>
      <c r="M238" s="14">
        <f>INDEX(products!$A$1:$G$49,MATCH(orders!$D238,products!$A$1:$A$49,0),MATCH(orders!M$1,products!$A$1:$G$1,0))</f>
        <v>2.5</v>
      </c>
      <c r="N238" s="4">
        <f>INDEX(products!$A$1:$G$49,MATCH(orders!$D238,products!$A$1:$A$49,0),MATCH(orders!N$1,products!$A$1:$G$1,0))</f>
        <v>29.784999999999997</v>
      </c>
      <c r="O238" s="13">
        <f t="shared" si="15"/>
        <v>89.35499999999999</v>
      </c>
      <c r="P238" s="13">
        <f>_xlfn.XLOOKUP(Orders[[#This Row],[Product ID]],products!$A$1:$A$49,products!$G$1:$G$49,,0)</f>
        <v>3.8720499999999998</v>
      </c>
      <c r="Q238" s="13">
        <f t="shared" si="16"/>
        <v>11.616149999999999</v>
      </c>
      <c r="R238" t="str">
        <f t="shared" si="18"/>
        <v>Liberica</v>
      </c>
      <c r="S238" t="str">
        <f t="shared" si="19"/>
        <v>Dark</v>
      </c>
      <c r="T238" t="str">
        <f>_xlfn.XLOOKUP(Orders[[#This Row],[Customer ID]],customers!$A$1:$A$1001,customers!$I$1:$I$1001,,0)</f>
        <v>No</v>
      </c>
    </row>
    <row r="239" spans="1:20" x14ac:dyDescent="0.35">
      <c r="A239" s="2" t="s">
        <v>1828</v>
      </c>
      <c r="B239" s="3">
        <v>44563</v>
      </c>
      <c r="C239" s="2" t="s">
        <v>1829</v>
      </c>
      <c r="D239" t="s">
        <v>6178</v>
      </c>
      <c r="E239" t="str">
        <f t="shared" si="17"/>
        <v>Robusta-Light-0.2</v>
      </c>
      <c r="F239" s="2">
        <v>1</v>
      </c>
      <c r="G239" s="2" t="str" cm="1">
        <f t="array" ref="G239">_xlfn.XLOOKUP(C239, customers!$A$1:A1238,customers!$B$1:B1238,,0)</f>
        <v>Craggy Bril</v>
      </c>
      <c r="H239" s="2" t="str" cm="1">
        <f t="array" ref="H239">IF(_xlfn.XLOOKUP(C239,customers!$A$1:A1238,customers!$C$1:C1238,,0) = 0,"", _xlfn.XLOOKUP(C239,customers!$A$1:A1238,customers!$C$1:C1238,,0))</f>
        <v/>
      </c>
      <c r="I239" s="2" t="str">
        <f>_xlfn.XLOOKUP(C239,customers!$A$1:$A$1001,customers!$G$1:$G$1001,,0)</f>
        <v>United States</v>
      </c>
      <c r="J239" s="2" t="str">
        <f>_xlfn.XLOOKUP(Orders[[#This Row],[Customer ID]],customers!$A$1:$A$1001,customers!$F$1:$F$1001,,0)</f>
        <v>Cincinnati</v>
      </c>
      <c r="K239" t="str">
        <f>INDEX(products!$A$1:$G$49,MATCH(orders!$D239,products!$A$1:$A$49,0),MATCH(orders!K$1,products!$A$1:$G$1,0))</f>
        <v>Rob</v>
      </c>
      <c r="L239" t="str">
        <f>INDEX(products!$A$1:$G$49,MATCH(orders!$D239,products!$A$1:$A$49,0),MATCH(orders!L$1,products!$A$1:$G$1,0))</f>
        <v>L</v>
      </c>
      <c r="M239" s="14">
        <f>INDEX(products!$A$1:$G$49,MATCH(orders!$D239,products!$A$1:$A$49,0),MATCH(orders!M$1,products!$A$1:$G$1,0))</f>
        <v>0.2</v>
      </c>
      <c r="N239" s="4">
        <f>INDEX(products!$A$1:$G$49,MATCH(orders!$D239,products!$A$1:$A$49,0),MATCH(orders!N$1,products!$A$1:$G$1,0))</f>
        <v>3.5849999999999995</v>
      </c>
      <c r="O239" s="13">
        <f t="shared" si="15"/>
        <v>3.5849999999999995</v>
      </c>
      <c r="P239" s="13">
        <f>_xlfn.XLOOKUP(Orders[[#This Row],[Product ID]],products!$A$1:$A$49,products!$G$1:$G$49,,0)</f>
        <v>0.21509999999999996</v>
      </c>
      <c r="Q239" s="13">
        <f t="shared" si="16"/>
        <v>0.21509999999999996</v>
      </c>
      <c r="R239" t="str">
        <f t="shared" si="18"/>
        <v>Robusta</v>
      </c>
      <c r="S239" t="str">
        <f t="shared" si="19"/>
        <v>Light</v>
      </c>
      <c r="T239" t="str">
        <f>_xlfn.XLOOKUP(Orders[[#This Row],[Customer ID]],customers!$A$1:$A$1001,customers!$I$1:$I$1001,,0)</f>
        <v>Yes</v>
      </c>
    </row>
    <row r="240" spans="1:20" x14ac:dyDescent="0.35">
      <c r="A240" s="2" t="s">
        <v>1833</v>
      </c>
      <c r="B240" s="3">
        <v>44172</v>
      </c>
      <c r="C240" s="2" t="s">
        <v>1834</v>
      </c>
      <c r="D240" t="s">
        <v>6151</v>
      </c>
      <c r="E240" t="str">
        <f t="shared" si="17"/>
        <v>Robusta-Medium-2.5</v>
      </c>
      <c r="F240" s="2">
        <v>2</v>
      </c>
      <c r="G240" s="2" t="str" cm="1">
        <f t="array" ref="G240">_xlfn.XLOOKUP(C240, customers!$A$1:A1239,customers!$B$1:B1239,,0)</f>
        <v>Friederike Drysdale</v>
      </c>
      <c r="H240" s="2" t="str" cm="1">
        <f t="array" ref="H240">IF(_xlfn.XLOOKUP(C240,customers!$A$1:A1239,customers!$C$1:C1239,,0) = 0,"", _xlfn.XLOOKUP(C240,customers!$A$1:A1239,customers!$C$1:C1239,,0))</f>
        <v>fdrysdale6m@symantec.com</v>
      </c>
      <c r="I240" s="2" t="str">
        <f>_xlfn.XLOOKUP(C240,customers!$A$1:$A$1001,customers!$G$1:$G$1001,,0)</f>
        <v>United States</v>
      </c>
      <c r="J240" s="2" t="str">
        <f>_xlfn.XLOOKUP(Orders[[#This Row],[Customer ID]],customers!$A$1:$A$1001,customers!$F$1:$F$1001,,0)</f>
        <v>Midland</v>
      </c>
      <c r="K240" t="str">
        <f>INDEX(products!$A$1:$G$49,MATCH(orders!$D240,products!$A$1:$A$49,0),MATCH(orders!K$1,products!$A$1:$G$1,0))</f>
        <v>Rob</v>
      </c>
      <c r="L240" t="str">
        <f>INDEX(products!$A$1:$G$49,MATCH(orders!$D240,products!$A$1:$A$49,0),MATCH(orders!L$1,products!$A$1:$G$1,0))</f>
        <v>M</v>
      </c>
      <c r="M240" s="14">
        <f>INDEX(products!$A$1:$G$49,MATCH(orders!$D240,products!$A$1:$A$49,0),MATCH(orders!M$1,products!$A$1:$G$1,0))</f>
        <v>2.5</v>
      </c>
      <c r="N240" s="4">
        <f>INDEX(products!$A$1:$G$49,MATCH(orders!$D240,products!$A$1:$A$49,0),MATCH(orders!N$1,products!$A$1:$G$1,0))</f>
        <v>22.884999999999998</v>
      </c>
      <c r="O240" s="13">
        <f t="shared" si="15"/>
        <v>45.769999999999996</v>
      </c>
      <c r="P240" s="13">
        <f>_xlfn.XLOOKUP(Orders[[#This Row],[Product ID]],products!$A$1:$A$49,products!$G$1:$G$49,,0)</f>
        <v>1.3730999999999998</v>
      </c>
      <c r="Q240" s="13">
        <f t="shared" si="16"/>
        <v>2.7461999999999995</v>
      </c>
      <c r="R240" t="str">
        <f t="shared" si="18"/>
        <v>Robusta</v>
      </c>
      <c r="S240" t="str">
        <f t="shared" si="19"/>
        <v>Medium</v>
      </c>
      <c r="T240" t="str">
        <f>_xlfn.XLOOKUP(Orders[[#This Row],[Customer ID]],customers!$A$1:$A$1001,customers!$I$1:$I$1001,,0)</f>
        <v>Yes</v>
      </c>
    </row>
    <row r="241" spans="1:20" x14ac:dyDescent="0.35">
      <c r="A241" s="2" t="s">
        <v>1839</v>
      </c>
      <c r="B241" s="3">
        <v>43881</v>
      </c>
      <c r="C241" s="2" t="s">
        <v>1840</v>
      </c>
      <c r="D241" t="s">
        <v>6171</v>
      </c>
      <c r="E241" t="str">
        <f t="shared" si="17"/>
        <v>Excelsa-Light-1</v>
      </c>
      <c r="F241" s="2">
        <v>4</v>
      </c>
      <c r="G241" s="2" t="str" cm="1">
        <f t="array" ref="G241">_xlfn.XLOOKUP(C241, customers!$A$1:A1240,customers!$B$1:B1240,,0)</f>
        <v>Devon Magowan</v>
      </c>
      <c r="H241" s="2" t="str" cm="1">
        <f t="array" ref="H241">IF(_xlfn.XLOOKUP(C241,customers!$A$1:A1240,customers!$C$1:C1240,,0) = 0,"", _xlfn.XLOOKUP(C241,customers!$A$1:A1240,customers!$C$1:C1240,,0))</f>
        <v>dmagowan6n@fc2.com</v>
      </c>
      <c r="I241" s="2" t="str">
        <f>_xlfn.XLOOKUP(C241,customers!$A$1:$A$1001,customers!$G$1:$G$1001,,0)</f>
        <v>United States</v>
      </c>
      <c r="J241" s="2" t="str">
        <f>_xlfn.XLOOKUP(Orders[[#This Row],[Customer ID]],customers!$A$1:$A$1001,customers!$F$1:$F$1001,,0)</f>
        <v>Cheyenne</v>
      </c>
      <c r="K241" t="str">
        <f>INDEX(products!$A$1:$G$49,MATCH(orders!$D241,products!$A$1:$A$49,0),MATCH(orders!K$1,products!$A$1:$G$1,0))</f>
        <v>Exc</v>
      </c>
      <c r="L241" t="str">
        <f>INDEX(products!$A$1:$G$49,MATCH(orders!$D241,products!$A$1:$A$49,0),MATCH(orders!L$1,products!$A$1:$G$1,0))</f>
        <v>L</v>
      </c>
      <c r="M241" s="14">
        <f>INDEX(products!$A$1:$G$49,MATCH(orders!$D241,products!$A$1:$A$49,0),MATCH(orders!M$1,products!$A$1:$G$1,0))</f>
        <v>1</v>
      </c>
      <c r="N241" s="4">
        <f>INDEX(products!$A$1:$G$49,MATCH(orders!$D241,products!$A$1:$A$49,0),MATCH(orders!N$1,products!$A$1:$G$1,0))</f>
        <v>14.85</v>
      </c>
      <c r="O241" s="13">
        <f t="shared" si="15"/>
        <v>59.4</v>
      </c>
      <c r="P241" s="13">
        <f>_xlfn.XLOOKUP(Orders[[#This Row],[Product ID]],products!$A$1:$A$49,products!$G$1:$G$49,,0)</f>
        <v>1.6335</v>
      </c>
      <c r="Q241" s="13">
        <f t="shared" si="16"/>
        <v>6.5339999999999998</v>
      </c>
      <c r="R241" t="str">
        <f t="shared" si="18"/>
        <v>Execelsa</v>
      </c>
      <c r="S241" t="str">
        <f t="shared" si="19"/>
        <v>Light</v>
      </c>
      <c r="T241" t="str">
        <f>_xlfn.XLOOKUP(Orders[[#This Row],[Customer ID]],customers!$A$1:$A$1001,customers!$I$1:$I$1001,,0)</f>
        <v>No</v>
      </c>
    </row>
    <row r="242" spans="1:20" x14ac:dyDescent="0.35">
      <c r="A242" s="2" t="s">
        <v>1845</v>
      </c>
      <c r="B242" s="3">
        <v>43993</v>
      </c>
      <c r="C242" s="2" t="s">
        <v>1846</v>
      </c>
      <c r="D242" t="s">
        <v>6175</v>
      </c>
      <c r="E242" t="str">
        <f t="shared" si="17"/>
        <v>Arabica-Medium-2.5</v>
      </c>
      <c r="F242" s="2">
        <v>6</v>
      </c>
      <c r="G242" s="2" t="str" cm="1">
        <f t="array" ref="G242">_xlfn.XLOOKUP(C242, customers!$A$1:A1241,customers!$B$1:B1241,,0)</f>
        <v>Codi Littrell</v>
      </c>
      <c r="H242" s="2" t="str" cm="1">
        <f t="array" ref="H242">IF(_xlfn.XLOOKUP(C242,customers!$A$1:A1241,customers!$C$1:C1241,,0) = 0,"", _xlfn.XLOOKUP(C242,customers!$A$1:A1241,customers!$C$1:C1241,,0))</f>
        <v/>
      </c>
      <c r="I242" s="2" t="str">
        <f>_xlfn.XLOOKUP(C242,customers!$A$1:$A$1001,customers!$G$1:$G$1001,,0)</f>
        <v>United States</v>
      </c>
      <c r="J242" s="2" t="str">
        <f>_xlfn.XLOOKUP(Orders[[#This Row],[Customer ID]],customers!$A$1:$A$1001,customers!$F$1:$F$1001,,0)</f>
        <v>Atlanta</v>
      </c>
      <c r="K242" t="str">
        <f>INDEX(products!$A$1:$G$49,MATCH(orders!$D242,products!$A$1:$A$49,0),MATCH(orders!K$1,products!$A$1:$G$1,0))</f>
        <v>Ara</v>
      </c>
      <c r="L242" t="str">
        <f>INDEX(products!$A$1:$G$49,MATCH(orders!$D242,products!$A$1:$A$49,0),MATCH(orders!L$1,products!$A$1:$G$1,0))</f>
        <v>M</v>
      </c>
      <c r="M242" s="14">
        <f>INDEX(products!$A$1:$G$49,MATCH(orders!$D242,products!$A$1:$A$49,0),MATCH(orders!M$1,products!$A$1:$G$1,0))</f>
        <v>2.5</v>
      </c>
      <c r="N242" s="4">
        <f>INDEX(products!$A$1:$G$49,MATCH(orders!$D242,products!$A$1:$A$49,0),MATCH(orders!N$1,products!$A$1:$G$1,0))</f>
        <v>25.874999999999996</v>
      </c>
      <c r="O242" s="13">
        <f t="shared" si="15"/>
        <v>155.24999999999997</v>
      </c>
      <c r="P242" s="13">
        <f>_xlfn.XLOOKUP(Orders[[#This Row],[Product ID]],products!$A$1:$A$49,products!$G$1:$G$49,,0)</f>
        <v>2.3287499999999994</v>
      </c>
      <c r="Q242" s="13">
        <f t="shared" si="16"/>
        <v>13.972499999999997</v>
      </c>
      <c r="R242" t="str">
        <f t="shared" si="18"/>
        <v>Arabica</v>
      </c>
      <c r="S242" t="str">
        <f t="shared" si="19"/>
        <v>Medium</v>
      </c>
      <c r="T242" t="str">
        <f>_xlfn.XLOOKUP(Orders[[#This Row],[Customer ID]],customers!$A$1:$A$1001,customers!$I$1:$I$1001,,0)</f>
        <v>Yes</v>
      </c>
    </row>
    <row r="243" spans="1:20" x14ac:dyDescent="0.35">
      <c r="A243" s="2" t="s">
        <v>1849</v>
      </c>
      <c r="B243" s="3">
        <v>44082</v>
      </c>
      <c r="C243" s="2" t="s">
        <v>1850</v>
      </c>
      <c r="D243" t="s">
        <v>6151</v>
      </c>
      <c r="E243" t="str">
        <f t="shared" si="17"/>
        <v>Robusta-Medium-2.5</v>
      </c>
      <c r="F243" s="2">
        <v>2</v>
      </c>
      <c r="G243" s="2" t="str" cm="1">
        <f t="array" ref="G243">_xlfn.XLOOKUP(C243, customers!$A$1:A1242,customers!$B$1:B1242,,0)</f>
        <v>Christel Speak</v>
      </c>
      <c r="H243" s="2" t="str" cm="1">
        <f t="array" ref="H243">IF(_xlfn.XLOOKUP(C243,customers!$A$1:A1242,customers!$C$1:C1242,,0) = 0,"", _xlfn.XLOOKUP(C243,customers!$A$1:A1242,customers!$C$1:C1242,,0))</f>
        <v/>
      </c>
      <c r="I243" s="2" t="str">
        <f>_xlfn.XLOOKUP(C243,customers!$A$1:$A$1001,customers!$G$1:$G$1001,,0)</f>
        <v>United States</v>
      </c>
      <c r="J243" s="2" t="str">
        <f>_xlfn.XLOOKUP(Orders[[#This Row],[Customer ID]],customers!$A$1:$A$1001,customers!$F$1:$F$1001,,0)</f>
        <v>Duluth</v>
      </c>
      <c r="K243" t="str">
        <f>INDEX(products!$A$1:$G$49,MATCH(orders!$D243,products!$A$1:$A$49,0),MATCH(orders!K$1,products!$A$1:$G$1,0))</f>
        <v>Rob</v>
      </c>
      <c r="L243" t="str">
        <f>INDEX(products!$A$1:$G$49,MATCH(orders!$D243,products!$A$1:$A$49,0),MATCH(orders!L$1,products!$A$1:$G$1,0))</f>
        <v>M</v>
      </c>
      <c r="M243" s="14">
        <f>INDEX(products!$A$1:$G$49,MATCH(orders!$D243,products!$A$1:$A$49,0),MATCH(orders!M$1,products!$A$1:$G$1,0))</f>
        <v>2.5</v>
      </c>
      <c r="N243" s="4">
        <f>INDEX(products!$A$1:$G$49,MATCH(orders!$D243,products!$A$1:$A$49,0),MATCH(orders!N$1,products!$A$1:$G$1,0))</f>
        <v>22.884999999999998</v>
      </c>
      <c r="O243" s="13">
        <f t="shared" si="15"/>
        <v>45.769999999999996</v>
      </c>
      <c r="P243" s="13">
        <f>_xlfn.XLOOKUP(Orders[[#This Row],[Product ID]],products!$A$1:$A$49,products!$G$1:$G$49,,0)</f>
        <v>1.3730999999999998</v>
      </c>
      <c r="Q243" s="13">
        <f t="shared" si="16"/>
        <v>2.7461999999999995</v>
      </c>
      <c r="R243" t="str">
        <f t="shared" si="18"/>
        <v>Robusta</v>
      </c>
      <c r="S243" t="str">
        <f t="shared" si="19"/>
        <v>Medium</v>
      </c>
      <c r="T243" t="str">
        <f>_xlfn.XLOOKUP(Orders[[#This Row],[Customer ID]],customers!$A$1:$A$1001,customers!$I$1:$I$1001,,0)</f>
        <v>No</v>
      </c>
    </row>
    <row r="244" spans="1:20" x14ac:dyDescent="0.35">
      <c r="A244" s="2" t="s">
        <v>1854</v>
      </c>
      <c r="B244" s="3">
        <v>43918</v>
      </c>
      <c r="C244" s="2" t="s">
        <v>1855</v>
      </c>
      <c r="D244" t="s">
        <v>6183</v>
      </c>
      <c r="E244" t="str">
        <f t="shared" si="17"/>
        <v>Excelsa-Dark-1</v>
      </c>
      <c r="F244" s="2">
        <v>3</v>
      </c>
      <c r="G244" s="2" t="str" cm="1">
        <f t="array" ref="G244">_xlfn.XLOOKUP(C244, customers!$A$1:A1243,customers!$B$1:B1243,,0)</f>
        <v>Sibella Rushbrooke</v>
      </c>
      <c r="H244" s="2" t="str" cm="1">
        <f t="array" ref="H244">IF(_xlfn.XLOOKUP(C244,customers!$A$1:A1243,customers!$C$1:C1243,,0) = 0,"", _xlfn.XLOOKUP(C244,customers!$A$1:A1243,customers!$C$1:C1243,,0))</f>
        <v>srushbrooke6q@youku.com</v>
      </c>
      <c r="I244" s="2" t="str">
        <f>_xlfn.XLOOKUP(C244,customers!$A$1:$A$1001,customers!$G$1:$G$1001,,0)</f>
        <v>United States</v>
      </c>
      <c r="J244" s="2" t="str">
        <f>_xlfn.XLOOKUP(Orders[[#This Row],[Customer ID]],customers!$A$1:$A$1001,customers!$F$1:$F$1001,,0)</f>
        <v>Sacramento</v>
      </c>
      <c r="K244" t="str">
        <f>INDEX(products!$A$1:$G$49,MATCH(orders!$D244,products!$A$1:$A$49,0),MATCH(orders!K$1,products!$A$1:$G$1,0))</f>
        <v>Exc</v>
      </c>
      <c r="L244" t="str">
        <f>INDEX(products!$A$1:$G$49,MATCH(orders!$D244,products!$A$1:$A$49,0),MATCH(orders!L$1,products!$A$1:$G$1,0))</f>
        <v>D</v>
      </c>
      <c r="M244" s="14">
        <f>INDEX(products!$A$1:$G$49,MATCH(orders!$D244,products!$A$1:$A$49,0),MATCH(orders!M$1,products!$A$1:$G$1,0))</f>
        <v>1</v>
      </c>
      <c r="N244" s="4">
        <f>INDEX(products!$A$1:$G$49,MATCH(orders!$D244,products!$A$1:$A$49,0),MATCH(orders!N$1,products!$A$1:$G$1,0))</f>
        <v>12.15</v>
      </c>
      <c r="O244" s="13">
        <f t="shared" si="15"/>
        <v>36.450000000000003</v>
      </c>
      <c r="P244" s="13">
        <f>_xlfn.XLOOKUP(Orders[[#This Row],[Product ID]],products!$A$1:$A$49,products!$G$1:$G$49,,0)</f>
        <v>1.3365</v>
      </c>
      <c r="Q244" s="13">
        <f t="shared" si="16"/>
        <v>4.0095000000000001</v>
      </c>
      <c r="R244" t="str">
        <f t="shared" si="18"/>
        <v>Execelsa</v>
      </c>
      <c r="S244" t="str">
        <f t="shared" si="19"/>
        <v>Dark</v>
      </c>
      <c r="T244" t="str">
        <f>_xlfn.XLOOKUP(Orders[[#This Row],[Customer ID]],customers!$A$1:$A$1001,customers!$I$1:$I$1001,,0)</f>
        <v>Yes</v>
      </c>
    </row>
    <row r="245" spans="1:20" x14ac:dyDescent="0.35">
      <c r="A245" s="2" t="s">
        <v>1860</v>
      </c>
      <c r="B245" s="3">
        <v>44114</v>
      </c>
      <c r="C245" s="2" t="s">
        <v>1861</v>
      </c>
      <c r="D245" t="s">
        <v>6144</v>
      </c>
      <c r="E245" t="str">
        <f t="shared" si="17"/>
        <v>Excelsa-Dark-0.5</v>
      </c>
      <c r="F245" s="2">
        <v>4</v>
      </c>
      <c r="G245" s="2" t="str" cm="1">
        <f t="array" ref="G245">_xlfn.XLOOKUP(C245, customers!$A$1:A1244,customers!$B$1:B1244,,0)</f>
        <v>Tammie Drynan</v>
      </c>
      <c r="H245" s="2" t="str" cm="1">
        <f t="array" ref="H245">IF(_xlfn.XLOOKUP(C245,customers!$A$1:A1244,customers!$C$1:C1244,,0) = 0,"", _xlfn.XLOOKUP(C245,customers!$A$1:A1244,customers!$C$1:C1244,,0))</f>
        <v>tdrynan6r@deviantart.com</v>
      </c>
      <c r="I245" s="2" t="str">
        <f>_xlfn.XLOOKUP(C245,customers!$A$1:$A$1001,customers!$G$1:$G$1001,,0)</f>
        <v>United States</v>
      </c>
      <c r="J245" s="2" t="str">
        <f>_xlfn.XLOOKUP(Orders[[#This Row],[Customer ID]],customers!$A$1:$A$1001,customers!$F$1:$F$1001,,0)</f>
        <v>Tampa</v>
      </c>
      <c r="K245" t="str">
        <f>INDEX(products!$A$1:$G$49,MATCH(orders!$D245,products!$A$1:$A$49,0),MATCH(orders!K$1,products!$A$1:$G$1,0))</f>
        <v>Exc</v>
      </c>
      <c r="L245" t="str">
        <f>INDEX(products!$A$1:$G$49,MATCH(orders!$D245,products!$A$1:$A$49,0),MATCH(orders!L$1,products!$A$1:$G$1,0))</f>
        <v>D</v>
      </c>
      <c r="M245" s="14">
        <f>INDEX(products!$A$1:$G$49,MATCH(orders!$D245,products!$A$1:$A$49,0),MATCH(orders!M$1,products!$A$1:$G$1,0))</f>
        <v>0.5</v>
      </c>
      <c r="N245" s="4">
        <f>INDEX(products!$A$1:$G$49,MATCH(orders!$D245,products!$A$1:$A$49,0),MATCH(orders!N$1,products!$A$1:$G$1,0))</f>
        <v>7.29</v>
      </c>
      <c r="O245" s="13">
        <f t="shared" si="15"/>
        <v>29.16</v>
      </c>
      <c r="P245" s="13">
        <f>_xlfn.XLOOKUP(Orders[[#This Row],[Product ID]],products!$A$1:$A$49,products!$G$1:$G$49,,0)</f>
        <v>0.80190000000000006</v>
      </c>
      <c r="Q245" s="13">
        <f t="shared" si="16"/>
        <v>3.2076000000000002</v>
      </c>
      <c r="R245" t="str">
        <f t="shared" si="18"/>
        <v>Execelsa</v>
      </c>
      <c r="S245" t="str">
        <f t="shared" si="19"/>
        <v>Dark</v>
      </c>
      <c r="T245" t="str">
        <f>_xlfn.XLOOKUP(Orders[[#This Row],[Customer ID]],customers!$A$1:$A$1001,customers!$I$1:$I$1001,,0)</f>
        <v>Yes</v>
      </c>
    </row>
    <row r="246" spans="1:20" x14ac:dyDescent="0.35">
      <c r="A246" s="2" t="s">
        <v>1866</v>
      </c>
      <c r="B246" s="3">
        <v>44702</v>
      </c>
      <c r="C246" s="2" t="s">
        <v>1867</v>
      </c>
      <c r="D246" t="s">
        <v>6181</v>
      </c>
      <c r="E246" t="str">
        <f t="shared" si="17"/>
        <v>Liberica-Medium-2.5</v>
      </c>
      <c r="F246" s="2">
        <v>4</v>
      </c>
      <c r="G246" s="2" t="str" cm="1">
        <f t="array" ref="G246">_xlfn.XLOOKUP(C246, customers!$A$1:A1245,customers!$B$1:B1245,,0)</f>
        <v>Effie Yurkov</v>
      </c>
      <c r="H246" s="2" t="str" cm="1">
        <f t="array" ref="H246">IF(_xlfn.XLOOKUP(C246,customers!$A$1:A1245,customers!$C$1:C1245,,0) = 0,"", _xlfn.XLOOKUP(C246,customers!$A$1:A1245,customers!$C$1:C1245,,0))</f>
        <v>eyurkov6s@hud.gov</v>
      </c>
      <c r="I246" s="2" t="str">
        <f>_xlfn.XLOOKUP(C246,customers!$A$1:$A$1001,customers!$G$1:$G$1001,,0)</f>
        <v>United States</v>
      </c>
      <c r="J246" s="2" t="str">
        <f>_xlfn.XLOOKUP(Orders[[#This Row],[Customer ID]],customers!$A$1:$A$1001,customers!$F$1:$F$1001,,0)</f>
        <v>Honolulu</v>
      </c>
      <c r="K246" t="str">
        <f>INDEX(products!$A$1:$G$49,MATCH(orders!$D246,products!$A$1:$A$49,0),MATCH(orders!K$1,products!$A$1:$G$1,0))</f>
        <v>Lib</v>
      </c>
      <c r="L246" t="str">
        <f>INDEX(products!$A$1:$G$49,MATCH(orders!$D246,products!$A$1:$A$49,0),MATCH(orders!L$1,products!$A$1:$G$1,0))</f>
        <v>M</v>
      </c>
      <c r="M246" s="14">
        <f>INDEX(products!$A$1:$G$49,MATCH(orders!$D246,products!$A$1:$A$49,0),MATCH(orders!M$1,products!$A$1:$G$1,0))</f>
        <v>2.5</v>
      </c>
      <c r="N246" s="4">
        <f>INDEX(products!$A$1:$G$49,MATCH(orders!$D246,products!$A$1:$A$49,0),MATCH(orders!N$1,products!$A$1:$G$1,0))</f>
        <v>33.464999999999996</v>
      </c>
      <c r="O246" s="13">
        <f t="shared" si="15"/>
        <v>133.85999999999999</v>
      </c>
      <c r="P246" s="13">
        <f>_xlfn.XLOOKUP(Orders[[#This Row],[Product ID]],products!$A$1:$A$49,products!$G$1:$G$49,,0)</f>
        <v>4.3504499999999995</v>
      </c>
      <c r="Q246" s="13">
        <f t="shared" si="16"/>
        <v>17.401799999999998</v>
      </c>
      <c r="R246" t="str">
        <f t="shared" si="18"/>
        <v>Liberica</v>
      </c>
      <c r="S246" t="str">
        <f t="shared" si="19"/>
        <v>Medium</v>
      </c>
      <c r="T246" t="str">
        <f>_xlfn.XLOOKUP(Orders[[#This Row],[Customer ID]],customers!$A$1:$A$1001,customers!$I$1:$I$1001,,0)</f>
        <v>No</v>
      </c>
    </row>
    <row r="247" spans="1:20" x14ac:dyDescent="0.35">
      <c r="A247" s="2" t="s">
        <v>1872</v>
      </c>
      <c r="B247" s="3">
        <v>43951</v>
      </c>
      <c r="C247" s="2" t="s">
        <v>1873</v>
      </c>
      <c r="D247" t="s">
        <v>6145</v>
      </c>
      <c r="E247" t="str">
        <f t="shared" si="17"/>
        <v>Liberica-Light-0.2</v>
      </c>
      <c r="F247" s="2">
        <v>5</v>
      </c>
      <c r="G247" s="2" t="str" cm="1">
        <f t="array" ref="G247">_xlfn.XLOOKUP(C247, customers!$A$1:A1246,customers!$B$1:B1246,,0)</f>
        <v>Lexie Mallan</v>
      </c>
      <c r="H247" s="2" t="str" cm="1">
        <f t="array" ref="H247">IF(_xlfn.XLOOKUP(C247,customers!$A$1:A1246,customers!$C$1:C1246,,0) = 0,"", _xlfn.XLOOKUP(C247,customers!$A$1:A1246,customers!$C$1:C1246,,0))</f>
        <v>lmallan6t@state.gov</v>
      </c>
      <c r="I247" s="2" t="str">
        <f>_xlfn.XLOOKUP(C247,customers!$A$1:$A$1001,customers!$G$1:$G$1001,,0)</f>
        <v>United States</v>
      </c>
      <c r="J247" s="2" t="str">
        <f>_xlfn.XLOOKUP(Orders[[#This Row],[Customer ID]],customers!$A$1:$A$1001,customers!$F$1:$F$1001,,0)</f>
        <v>Baton Rouge</v>
      </c>
      <c r="K247" t="str">
        <f>INDEX(products!$A$1:$G$49,MATCH(orders!$D247,products!$A$1:$A$49,0),MATCH(orders!K$1,products!$A$1:$G$1,0))</f>
        <v>Lib</v>
      </c>
      <c r="L247" t="str">
        <f>INDEX(products!$A$1:$G$49,MATCH(orders!$D247,products!$A$1:$A$49,0),MATCH(orders!L$1,products!$A$1:$G$1,0))</f>
        <v>L</v>
      </c>
      <c r="M247" s="14">
        <f>INDEX(products!$A$1:$G$49,MATCH(orders!$D247,products!$A$1:$A$49,0),MATCH(orders!M$1,products!$A$1:$G$1,0))</f>
        <v>0.2</v>
      </c>
      <c r="N247" s="4">
        <f>INDEX(products!$A$1:$G$49,MATCH(orders!$D247,products!$A$1:$A$49,0),MATCH(orders!N$1,products!$A$1:$G$1,0))</f>
        <v>4.7549999999999999</v>
      </c>
      <c r="O247" s="13">
        <f t="shared" si="15"/>
        <v>23.774999999999999</v>
      </c>
      <c r="P247" s="13">
        <f>_xlfn.XLOOKUP(Orders[[#This Row],[Product ID]],products!$A$1:$A$49,products!$G$1:$G$49,,0)</f>
        <v>0.61814999999999998</v>
      </c>
      <c r="Q247" s="13">
        <f t="shared" si="16"/>
        <v>3.0907499999999999</v>
      </c>
      <c r="R247" t="str">
        <f t="shared" si="18"/>
        <v>Liberica</v>
      </c>
      <c r="S247" t="str">
        <f t="shared" si="19"/>
        <v>Light</v>
      </c>
      <c r="T247" t="str">
        <f>_xlfn.XLOOKUP(Orders[[#This Row],[Customer ID]],customers!$A$1:$A$1001,customers!$I$1:$I$1001,,0)</f>
        <v>Yes</v>
      </c>
    </row>
    <row r="248" spans="1:20" x14ac:dyDescent="0.35">
      <c r="A248" s="2" t="s">
        <v>1878</v>
      </c>
      <c r="B248" s="3">
        <v>44542</v>
      </c>
      <c r="C248" s="2" t="s">
        <v>1879</v>
      </c>
      <c r="D248" t="s">
        <v>6143</v>
      </c>
      <c r="E248" t="str">
        <f t="shared" si="17"/>
        <v>Liberica-Dark-1</v>
      </c>
      <c r="F248" s="2">
        <v>3</v>
      </c>
      <c r="G248" s="2" t="str" cm="1">
        <f t="array" ref="G248">_xlfn.XLOOKUP(C248, customers!$A$1:A1247,customers!$B$1:B1247,,0)</f>
        <v>Georgena Bentjens</v>
      </c>
      <c r="H248" s="2" t="str" cm="1">
        <f t="array" ref="H248">IF(_xlfn.XLOOKUP(C248,customers!$A$1:A1247,customers!$C$1:C1247,,0) = 0,"", _xlfn.XLOOKUP(C248,customers!$A$1:A1247,customers!$C$1:C1247,,0))</f>
        <v>gbentjens6u@netlog.com</v>
      </c>
      <c r="I248" s="2" t="str">
        <f>_xlfn.XLOOKUP(C248,customers!$A$1:$A$1001,customers!$G$1:$G$1001,,0)</f>
        <v>United Kingdom</v>
      </c>
      <c r="J248" s="2" t="str">
        <f>_xlfn.XLOOKUP(Orders[[#This Row],[Customer ID]],customers!$A$1:$A$1001,customers!$F$1:$F$1001,,0)</f>
        <v>Newbiggin</v>
      </c>
      <c r="K248" t="str">
        <f>INDEX(products!$A$1:$G$49,MATCH(orders!$D248,products!$A$1:$A$49,0),MATCH(orders!K$1,products!$A$1:$G$1,0))</f>
        <v>Lib</v>
      </c>
      <c r="L248" t="str">
        <f>INDEX(products!$A$1:$G$49,MATCH(orders!$D248,products!$A$1:$A$49,0),MATCH(orders!L$1,products!$A$1:$G$1,0))</f>
        <v>D</v>
      </c>
      <c r="M248" s="14">
        <f>INDEX(products!$A$1:$G$49,MATCH(orders!$D248,products!$A$1:$A$49,0),MATCH(orders!M$1,products!$A$1:$G$1,0))</f>
        <v>1</v>
      </c>
      <c r="N248" s="4">
        <f>INDEX(products!$A$1:$G$49,MATCH(orders!$D248,products!$A$1:$A$49,0),MATCH(orders!N$1,products!$A$1:$G$1,0))</f>
        <v>12.95</v>
      </c>
      <c r="O248" s="13">
        <f t="shared" si="15"/>
        <v>38.849999999999994</v>
      </c>
      <c r="P248" s="13">
        <f>_xlfn.XLOOKUP(Orders[[#This Row],[Product ID]],products!$A$1:$A$49,products!$G$1:$G$49,,0)</f>
        <v>1.6835</v>
      </c>
      <c r="Q248" s="13">
        <f t="shared" si="16"/>
        <v>5.0504999999999995</v>
      </c>
      <c r="R248" t="str">
        <f t="shared" si="18"/>
        <v>Liberica</v>
      </c>
      <c r="S248" t="str">
        <f t="shared" si="19"/>
        <v>Dark</v>
      </c>
      <c r="T248" t="str">
        <f>_xlfn.XLOOKUP(Orders[[#This Row],[Customer ID]],customers!$A$1:$A$1001,customers!$I$1:$I$1001,,0)</f>
        <v>No</v>
      </c>
    </row>
    <row r="249" spans="1:20" x14ac:dyDescent="0.35">
      <c r="A249" s="2" t="s">
        <v>1884</v>
      </c>
      <c r="B249" s="3">
        <v>44131</v>
      </c>
      <c r="C249" s="2" t="s">
        <v>1885</v>
      </c>
      <c r="D249" t="s">
        <v>6178</v>
      </c>
      <c r="E249" t="str">
        <f t="shared" si="17"/>
        <v>Robusta-Light-0.2</v>
      </c>
      <c r="F249" s="2">
        <v>6</v>
      </c>
      <c r="G249" s="2" t="str" cm="1">
        <f t="array" ref="G249">_xlfn.XLOOKUP(C249, customers!$A$1:A1248,customers!$B$1:B1248,,0)</f>
        <v>Delmar Beasant</v>
      </c>
      <c r="H249" s="2" t="str" cm="1">
        <f t="array" ref="H249">IF(_xlfn.XLOOKUP(C249,customers!$A$1:A1248,customers!$C$1:C1248,,0) = 0,"", _xlfn.XLOOKUP(C249,customers!$A$1:A1248,customers!$C$1:C1248,,0))</f>
        <v/>
      </c>
      <c r="I249" s="2" t="str">
        <f>_xlfn.XLOOKUP(C249,customers!$A$1:$A$1001,customers!$G$1:$G$1001,,0)</f>
        <v>Ireland</v>
      </c>
      <c r="J249" s="2" t="str">
        <f>_xlfn.XLOOKUP(Orders[[#This Row],[Customer ID]],customers!$A$1:$A$1001,customers!$F$1:$F$1001,,0)</f>
        <v>Kilkenny</v>
      </c>
      <c r="K249" t="str">
        <f>INDEX(products!$A$1:$G$49,MATCH(orders!$D249,products!$A$1:$A$49,0),MATCH(orders!K$1,products!$A$1:$G$1,0))</f>
        <v>Rob</v>
      </c>
      <c r="L249" t="str">
        <f>INDEX(products!$A$1:$G$49,MATCH(orders!$D249,products!$A$1:$A$49,0),MATCH(orders!L$1,products!$A$1:$G$1,0))</f>
        <v>L</v>
      </c>
      <c r="M249" s="14">
        <f>INDEX(products!$A$1:$G$49,MATCH(orders!$D249,products!$A$1:$A$49,0),MATCH(orders!M$1,products!$A$1:$G$1,0))</f>
        <v>0.2</v>
      </c>
      <c r="N249" s="4">
        <f>INDEX(products!$A$1:$G$49,MATCH(orders!$D249,products!$A$1:$A$49,0),MATCH(orders!N$1,products!$A$1:$G$1,0))</f>
        <v>3.5849999999999995</v>
      </c>
      <c r="O249" s="13">
        <f t="shared" si="15"/>
        <v>21.509999999999998</v>
      </c>
      <c r="P249" s="13">
        <f>_xlfn.XLOOKUP(Orders[[#This Row],[Product ID]],products!$A$1:$A$49,products!$G$1:$G$49,,0)</f>
        <v>0.21509999999999996</v>
      </c>
      <c r="Q249" s="13">
        <f t="shared" si="16"/>
        <v>1.2905999999999997</v>
      </c>
      <c r="R249" t="str">
        <f t="shared" si="18"/>
        <v>Robusta</v>
      </c>
      <c r="S249" t="str">
        <f t="shared" si="19"/>
        <v>Light</v>
      </c>
      <c r="T249" t="str">
        <f>_xlfn.XLOOKUP(Orders[[#This Row],[Customer ID]],customers!$A$1:$A$1001,customers!$I$1:$I$1001,,0)</f>
        <v>Yes</v>
      </c>
    </row>
    <row r="250" spans="1:20" x14ac:dyDescent="0.35">
      <c r="A250" s="2" t="s">
        <v>1889</v>
      </c>
      <c r="B250" s="3">
        <v>44019</v>
      </c>
      <c r="C250" s="2" t="s">
        <v>1890</v>
      </c>
      <c r="D250" t="s">
        <v>6147</v>
      </c>
      <c r="E250" t="str">
        <f t="shared" si="17"/>
        <v>Arabica-Dark-1</v>
      </c>
      <c r="F250" s="2">
        <v>1</v>
      </c>
      <c r="G250" s="2" t="str" cm="1">
        <f t="array" ref="G250">_xlfn.XLOOKUP(C250, customers!$A$1:A1249,customers!$B$1:B1249,,0)</f>
        <v>Lyn Entwistle</v>
      </c>
      <c r="H250" s="2" t="str" cm="1">
        <f t="array" ref="H250">IF(_xlfn.XLOOKUP(C250,customers!$A$1:A1249,customers!$C$1:C1249,,0) = 0,"", _xlfn.XLOOKUP(C250,customers!$A$1:A1249,customers!$C$1:C1249,,0))</f>
        <v>lentwistle6w@omniture.com</v>
      </c>
      <c r="I250" s="2" t="str">
        <f>_xlfn.XLOOKUP(C250,customers!$A$1:$A$1001,customers!$G$1:$G$1001,,0)</f>
        <v>United States</v>
      </c>
      <c r="J250" s="2" t="str">
        <f>_xlfn.XLOOKUP(Orders[[#This Row],[Customer ID]],customers!$A$1:$A$1001,customers!$F$1:$F$1001,,0)</f>
        <v>Minneapolis</v>
      </c>
      <c r="K250" t="str">
        <f>INDEX(products!$A$1:$G$49,MATCH(orders!$D250,products!$A$1:$A$49,0),MATCH(orders!K$1,products!$A$1:$G$1,0))</f>
        <v>Ara</v>
      </c>
      <c r="L250" t="str">
        <f>INDEX(products!$A$1:$G$49,MATCH(orders!$D250,products!$A$1:$A$49,0),MATCH(orders!L$1,products!$A$1:$G$1,0))</f>
        <v>D</v>
      </c>
      <c r="M250" s="14">
        <f>INDEX(products!$A$1:$G$49,MATCH(orders!$D250,products!$A$1:$A$49,0),MATCH(orders!M$1,products!$A$1:$G$1,0))</f>
        <v>1</v>
      </c>
      <c r="N250" s="4">
        <f>INDEX(products!$A$1:$G$49,MATCH(orders!$D250,products!$A$1:$A$49,0),MATCH(orders!N$1,products!$A$1:$G$1,0))</f>
        <v>9.9499999999999993</v>
      </c>
      <c r="O250" s="13">
        <f t="shared" si="15"/>
        <v>9.9499999999999993</v>
      </c>
      <c r="P250" s="13">
        <f>_xlfn.XLOOKUP(Orders[[#This Row],[Product ID]],products!$A$1:$A$49,products!$G$1:$G$49,,0)</f>
        <v>0.89549999999999985</v>
      </c>
      <c r="Q250" s="13">
        <f t="shared" si="16"/>
        <v>0.89549999999999985</v>
      </c>
      <c r="R250" t="str">
        <f t="shared" si="18"/>
        <v>Arabica</v>
      </c>
      <c r="S250" t="str">
        <f t="shared" si="19"/>
        <v>Dark</v>
      </c>
      <c r="T250" t="str">
        <f>_xlfn.XLOOKUP(Orders[[#This Row],[Customer ID]],customers!$A$1:$A$1001,customers!$I$1:$I$1001,,0)</f>
        <v>Yes</v>
      </c>
    </row>
    <row r="251" spans="1:20" x14ac:dyDescent="0.35">
      <c r="A251" s="2" t="s">
        <v>1895</v>
      </c>
      <c r="B251" s="3">
        <v>43861</v>
      </c>
      <c r="C251" s="2" t="s">
        <v>1935</v>
      </c>
      <c r="D251" t="s">
        <v>6170</v>
      </c>
      <c r="E251" t="str">
        <f t="shared" si="17"/>
        <v>Liberica-Light-1</v>
      </c>
      <c r="F251" s="2">
        <v>1</v>
      </c>
      <c r="G251" s="2" t="str" cm="1">
        <f t="array" ref="G251">_xlfn.XLOOKUP(C251, customers!$A$1:A1250,customers!$B$1:B1250,,0)</f>
        <v>Zacharias Kiffe</v>
      </c>
      <c r="H251" s="2" t="str" cm="1">
        <f t="array" ref="H251">IF(_xlfn.XLOOKUP(C251,customers!$A$1:A1250,customers!$C$1:C1250,,0) = 0,"", _xlfn.XLOOKUP(C251,customers!$A$1:A1250,customers!$C$1:C1250,,0))</f>
        <v>zkiffe74@cyberchimps.com</v>
      </c>
      <c r="I251" s="2" t="str">
        <f>_xlfn.XLOOKUP(C251,customers!$A$1:$A$1001,customers!$G$1:$G$1001,,0)</f>
        <v>United States</v>
      </c>
      <c r="J251" s="2" t="str">
        <f>_xlfn.XLOOKUP(Orders[[#This Row],[Customer ID]],customers!$A$1:$A$1001,customers!$F$1:$F$1001,,0)</f>
        <v>Milwaukee</v>
      </c>
      <c r="K251" t="str">
        <f>INDEX(products!$A$1:$G$49,MATCH(orders!$D251,products!$A$1:$A$49,0),MATCH(orders!K$1,products!$A$1:$G$1,0))</f>
        <v>Lib</v>
      </c>
      <c r="L251" t="str">
        <f>INDEX(products!$A$1:$G$49,MATCH(orders!$D251,products!$A$1:$A$49,0),MATCH(orders!L$1,products!$A$1:$G$1,0))</f>
        <v>L</v>
      </c>
      <c r="M251" s="14">
        <f>INDEX(products!$A$1:$G$49,MATCH(orders!$D251,products!$A$1:$A$49,0),MATCH(orders!M$1,products!$A$1:$G$1,0))</f>
        <v>1</v>
      </c>
      <c r="N251" s="4">
        <f>INDEX(products!$A$1:$G$49,MATCH(orders!$D251,products!$A$1:$A$49,0),MATCH(orders!N$1,products!$A$1:$G$1,0))</f>
        <v>15.85</v>
      </c>
      <c r="O251" s="13">
        <f t="shared" si="15"/>
        <v>15.85</v>
      </c>
      <c r="P251" s="13">
        <f>_xlfn.XLOOKUP(Orders[[#This Row],[Product ID]],products!$A$1:$A$49,products!$G$1:$G$49,,0)</f>
        <v>2.0605000000000002</v>
      </c>
      <c r="Q251" s="13">
        <f t="shared" si="16"/>
        <v>2.0605000000000002</v>
      </c>
      <c r="R251" t="str">
        <f t="shared" si="18"/>
        <v>Liberica</v>
      </c>
      <c r="S251" t="str">
        <f t="shared" si="19"/>
        <v>Light</v>
      </c>
      <c r="T251" t="str">
        <f>_xlfn.XLOOKUP(Orders[[#This Row],[Customer ID]],customers!$A$1:$A$1001,customers!$I$1:$I$1001,,0)</f>
        <v>Yes</v>
      </c>
    </row>
    <row r="252" spans="1:20" x14ac:dyDescent="0.35">
      <c r="A252" s="2" t="s">
        <v>1900</v>
      </c>
      <c r="B252" s="3">
        <v>43879</v>
      </c>
      <c r="C252" s="2" t="s">
        <v>1901</v>
      </c>
      <c r="D252" t="s">
        <v>6174</v>
      </c>
      <c r="E252" t="str">
        <f t="shared" si="17"/>
        <v>Robusta-Medium-0.2</v>
      </c>
      <c r="F252" s="2">
        <v>1</v>
      </c>
      <c r="G252" s="2" t="str" cm="1">
        <f t="array" ref="G252">_xlfn.XLOOKUP(C252, customers!$A$1:A1251,customers!$B$1:B1251,,0)</f>
        <v>Mercedes Acott</v>
      </c>
      <c r="H252" s="2" t="str" cm="1">
        <f t="array" ref="H252">IF(_xlfn.XLOOKUP(C252,customers!$A$1:A1251,customers!$C$1:C1251,,0) = 0,"", _xlfn.XLOOKUP(C252,customers!$A$1:A1251,customers!$C$1:C1251,,0))</f>
        <v>macott6y@pagesperso-orange.fr</v>
      </c>
      <c r="I252" s="2" t="str">
        <f>_xlfn.XLOOKUP(C252,customers!$A$1:$A$1001,customers!$G$1:$G$1001,,0)</f>
        <v>United States</v>
      </c>
      <c r="J252" s="2" t="str">
        <f>_xlfn.XLOOKUP(Orders[[#This Row],[Customer ID]],customers!$A$1:$A$1001,customers!$F$1:$F$1001,,0)</f>
        <v>Charlotte</v>
      </c>
      <c r="K252" t="str">
        <f>INDEX(products!$A$1:$G$49,MATCH(orders!$D252,products!$A$1:$A$49,0),MATCH(orders!K$1,products!$A$1:$G$1,0))</f>
        <v>Rob</v>
      </c>
      <c r="L252" t="str">
        <f>INDEX(products!$A$1:$G$49,MATCH(orders!$D252,products!$A$1:$A$49,0),MATCH(orders!L$1,products!$A$1:$G$1,0))</f>
        <v>M</v>
      </c>
      <c r="M252" s="14">
        <f>INDEX(products!$A$1:$G$49,MATCH(orders!$D252,products!$A$1:$A$49,0),MATCH(orders!M$1,products!$A$1:$G$1,0))</f>
        <v>0.2</v>
      </c>
      <c r="N252" s="4">
        <f>INDEX(products!$A$1:$G$49,MATCH(orders!$D252,products!$A$1:$A$49,0),MATCH(orders!N$1,products!$A$1:$G$1,0))</f>
        <v>2.9849999999999999</v>
      </c>
      <c r="O252" s="13">
        <f t="shared" si="15"/>
        <v>2.9849999999999999</v>
      </c>
      <c r="P252" s="13">
        <f>_xlfn.XLOOKUP(Orders[[#This Row],[Product ID]],products!$A$1:$A$49,products!$G$1:$G$49,,0)</f>
        <v>0.17909999999999998</v>
      </c>
      <c r="Q252" s="13">
        <f t="shared" si="16"/>
        <v>0.17909999999999998</v>
      </c>
      <c r="R252" t="str">
        <f t="shared" si="18"/>
        <v>Robusta</v>
      </c>
      <c r="S252" t="str">
        <f t="shared" si="19"/>
        <v>Medium</v>
      </c>
      <c r="T252" t="str">
        <f>_xlfn.XLOOKUP(Orders[[#This Row],[Customer ID]],customers!$A$1:$A$1001,customers!$I$1:$I$1001,,0)</f>
        <v>Yes</v>
      </c>
    </row>
    <row r="253" spans="1:20" x14ac:dyDescent="0.35">
      <c r="A253" s="2" t="s">
        <v>1906</v>
      </c>
      <c r="B253" s="3">
        <v>44360</v>
      </c>
      <c r="C253" s="2" t="s">
        <v>1907</v>
      </c>
      <c r="D253" t="s">
        <v>6141</v>
      </c>
      <c r="E253" t="str">
        <f t="shared" si="17"/>
        <v>Excelsa-Medium-1</v>
      </c>
      <c r="F253" s="2">
        <v>5</v>
      </c>
      <c r="G253" s="2" t="str" cm="1">
        <f t="array" ref="G253">_xlfn.XLOOKUP(C253, customers!$A$1:A1252,customers!$B$1:B1252,,0)</f>
        <v>Connor Heaviside</v>
      </c>
      <c r="H253" s="2" t="str" cm="1">
        <f t="array" ref="H253">IF(_xlfn.XLOOKUP(C253,customers!$A$1:A1252,customers!$C$1:C1252,,0) = 0,"", _xlfn.XLOOKUP(C253,customers!$A$1:A1252,customers!$C$1:C1252,,0))</f>
        <v>cheaviside6z@rediff.com</v>
      </c>
      <c r="I253" s="2" t="str">
        <f>_xlfn.XLOOKUP(C253,customers!$A$1:$A$1001,customers!$G$1:$G$1001,,0)</f>
        <v>United States</v>
      </c>
      <c r="J253" s="2" t="str">
        <f>_xlfn.XLOOKUP(Orders[[#This Row],[Customer ID]],customers!$A$1:$A$1001,customers!$F$1:$F$1001,,0)</f>
        <v>Phoenix</v>
      </c>
      <c r="K253" t="str">
        <f>INDEX(products!$A$1:$G$49,MATCH(orders!$D253,products!$A$1:$A$49,0),MATCH(orders!K$1,products!$A$1:$G$1,0))</f>
        <v>Exc</v>
      </c>
      <c r="L253" t="str">
        <f>INDEX(products!$A$1:$G$49,MATCH(orders!$D253,products!$A$1:$A$49,0),MATCH(orders!L$1,products!$A$1:$G$1,0))</f>
        <v>M</v>
      </c>
      <c r="M253" s="14">
        <f>INDEX(products!$A$1:$G$49,MATCH(orders!$D253,products!$A$1:$A$49,0),MATCH(orders!M$1,products!$A$1:$G$1,0))</f>
        <v>1</v>
      </c>
      <c r="N253" s="4">
        <f>INDEX(products!$A$1:$G$49,MATCH(orders!$D253,products!$A$1:$A$49,0),MATCH(orders!N$1,products!$A$1:$G$1,0))</f>
        <v>13.75</v>
      </c>
      <c r="O253" s="13">
        <f t="shared" si="15"/>
        <v>68.75</v>
      </c>
      <c r="P253" s="13">
        <f>_xlfn.XLOOKUP(Orders[[#This Row],[Product ID]],products!$A$1:$A$49,products!$G$1:$G$49,,0)</f>
        <v>1.5125</v>
      </c>
      <c r="Q253" s="13">
        <f t="shared" si="16"/>
        <v>7.5625</v>
      </c>
      <c r="R253" t="str">
        <f t="shared" si="18"/>
        <v>Execelsa</v>
      </c>
      <c r="S253" t="str">
        <f t="shared" si="19"/>
        <v>Medium</v>
      </c>
      <c r="T253" t="str">
        <f>_xlfn.XLOOKUP(Orders[[#This Row],[Customer ID]],customers!$A$1:$A$1001,customers!$I$1:$I$1001,,0)</f>
        <v>Yes</v>
      </c>
    </row>
    <row r="254" spans="1:20" x14ac:dyDescent="0.35">
      <c r="A254" s="2" t="s">
        <v>1912</v>
      </c>
      <c r="B254" s="3">
        <v>44779</v>
      </c>
      <c r="C254" s="2" t="s">
        <v>1913</v>
      </c>
      <c r="D254" t="s">
        <v>6147</v>
      </c>
      <c r="E254" t="str">
        <f t="shared" si="17"/>
        <v>Arabica-Dark-1</v>
      </c>
      <c r="F254" s="2">
        <v>3</v>
      </c>
      <c r="G254" s="2" t="str" cm="1">
        <f t="array" ref="G254">_xlfn.XLOOKUP(C254, customers!$A$1:A1253,customers!$B$1:B1253,,0)</f>
        <v>Devy Bulbrook</v>
      </c>
      <c r="H254" s="2" t="str" cm="1">
        <f t="array" ref="H254">IF(_xlfn.XLOOKUP(C254,customers!$A$1:A1253,customers!$C$1:C1253,,0) = 0,"", _xlfn.XLOOKUP(C254,customers!$A$1:A1253,customers!$C$1:C1253,,0))</f>
        <v/>
      </c>
      <c r="I254" s="2" t="str">
        <f>_xlfn.XLOOKUP(C254,customers!$A$1:$A$1001,customers!$G$1:$G$1001,,0)</f>
        <v>United States</v>
      </c>
      <c r="J254" s="2" t="str">
        <f>_xlfn.XLOOKUP(Orders[[#This Row],[Customer ID]],customers!$A$1:$A$1001,customers!$F$1:$F$1001,,0)</f>
        <v>Jamaica</v>
      </c>
      <c r="K254" t="str">
        <f>INDEX(products!$A$1:$G$49,MATCH(orders!$D254,products!$A$1:$A$49,0),MATCH(orders!K$1,products!$A$1:$G$1,0))</f>
        <v>Ara</v>
      </c>
      <c r="L254" t="str">
        <f>INDEX(products!$A$1:$G$49,MATCH(orders!$D254,products!$A$1:$A$49,0),MATCH(orders!L$1,products!$A$1:$G$1,0))</f>
        <v>D</v>
      </c>
      <c r="M254" s="14">
        <f>INDEX(products!$A$1:$G$49,MATCH(orders!$D254,products!$A$1:$A$49,0),MATCH(orders!M$1,products!$A$1:$G$1,0))</f>
        <v>1</v>
      </c>
      <c r="N254" s="4">
        <f>INDEX(products!$A$1:$G$49,MATCH(orders!$D254,products!$A$1:$A$49,0),MATCH(orders!N$1,products!$A$1:$G$1,0))</f>
        <v>9.9499999999999993</v>
      </c>
      <c r="O254" s="13">
        <f t="shared" si="15"/>
        <v>29.849999999999998</v>
      </c>
      <c r="P254" s="13">
        <f>_xlfn.XLOOKUP(Orders[[#This Row],[Product ID]],products!$A$1:$A$49,products!$G$1:$G$49,,0)</f>
        <v>0.89549999999999985</v>
      </c>
      <c r="Q254" s="13">
        <f t="shared" si="16"/>
        <v>2.6864999999999997</v>
      </c>
      <c r="R254" t="str">
        <f t="shared" si="18"/>
        <v>Arabica</v>
      </c>
      <c r="S254" t="str">
        <f t="shared" si="19"/>
        <v>Dark</v>
      </c>
      <c r="T254" t="str">
        <f>_xlfn.XLOOKUP(Orders[[#This Row],[Customer ID]],customers!$A$1:$A$1001,customers!$I$1:$I$1001,,0)</f>
        <v>No</v>
      </c>
    </row>
    <row r="255" spans="1:20" x14ac:dyDescent="0.35">
      <c r="A255" s="2" t="s">
        <v>1917</v>
      </c>
      <c r="B255" s="3">
        <v>44523</v>
      </c>
      <c r="C255" s="2" t="s">
        <v>1918</v>
      </c>
      <c r="D255" t="s">
        <v>6162</v>
      </c>
      <c r="E255" t="str">
        <f t="shared" si="17"/>
        <v>Liberica-Medium-1</v>
      </c>
      <c r="F255" s="2">
        <v>4</v>
      </c>
      <c r="G255" s="2" t="str" cm="1">
        <f t="array" ref="G255">_xlfn.XLOOKUP(C255, customers!$A$1:A1254,customers!$B$1:B1254,,0)</f>
        <v>Leia Kernan</v>
      </c>
      <c r="H255" s="2" t="str" cm="1">
        <f t="array" ref="H255">IF(_xlfn.XLOOKUP(C255,customers!$A$1:A1254,customers!$C$1:C1254,,0) = 0,"", _xlfn.XLOOKUP(C255,customers!$A$1:A1254,customers!$C$1:C1254,,0))</f>
        <v>lkernan71@wsj.com</v>
      </c>
      <c r="I255" s="2" t="str">
        <f>_xlfn.XLOOKUP(C255,customers!$A$1:$A$1001,customers!$G$1:$G$1001,,0)</f>
        <v>United States</v>
      </c>
      <c r="J255" s="2" t="str">
        <f>_xlfn.XLOOKUP(Orders[[#This Row],[Customer ID]],customers!$A$1:$A$1001,customers!$F$1:$F$1001,,0)</f>
        <v>Champaign</v>
      </c>
      <c r="K255" t="str">
        <f>INDEX(products!$A$1:$G$49,MATCH(orders!$D255,products!$A$1:$A$49,0),MATCH(orders!K$1,products!$A$1:$G$1,0))</f>
        <v>Lib</v>
      </c>
      <c r="L255" t="str">
        <f>INDEX(products!$A$1:$G$49,MATCH(orders!$D255,products!$A$1:$A$49,0),MATCH(orders!L$1,products!$A$1:$G$1,0))</f>
        <v>M</v>
      </c>
      <c r="M255" s="14">
        <f>INDEX(products!$A$1:$G$49,MATCH(orders!$D255,products!$A$1:$A$49,0),MATCH(orders!M$1,products!$A$1:$G$1,0))</f>
        <v>1</v>
      </c>
      <c r="N255" s="4">
        <f>INDEX(products!$A$1:$G$49,MATCH(orders!$D255,products!$A$1:$A$49,0),MATCH(orders!N$1,products!$A$1:$G$1,0))</f>
        <v>14.55</v>
      </c>
      <c r="O255" s="13">
        <f t="shared" si="15"/>
        <v>58.2</v>
      </c>
      <c r="P255" s="13">
        <f>_xlfn.XLOOKUP(Orders[[#This Row],[Product ID]],products!$A$1:$A$49,products!$G$1:$G$49,,0)</f>
        <v>1.8915000000000002</v>
      </c>
      <c r="Q255" s="13">
        <f t="shared" si="16"/>
        <v>7.5660000000000007</v>
      </c>
      <c r="R255" t="str">
        <f t="shared" si="18"/>
        <v>Liberica</v>
      </c>
      <c r="S255" t="str">
        <f t="shared" si="19"/>
        <v>Medium</v>
      </c>
      <c r="T255" t="str">
        <f>_xlfn.XLOOKUP(Orders[[#This Row],[Customer ID]],customers!$A$1:$A$1001,customers!$I$1:$I$1001,,0)</f>
        <v>No</v>
      </c>
    </row>
    <row r="256" spans="1:20" x14ac:dyDescent="0.35">
      <c r="A256" s="2" t="s">
        <v>1923</v>
      </c>
      <c r="B256" s="3">
        <v>44482</v>
      </c>
      <c r="C256" s="2" t="s">
        <v>1924</v>
      </c>
      <c r="D256" t="s">
        <v>6173</v>
      </c>
      <c r="E256" t="str">
        <f t="shared" si="17"/>
        <v>Robusta-Light-0.5</v>
      </c>
      <c r="F256" s="2">
        <v>4</v>
      </c>
      <c r="G256" s="2" t="str" cm="1">
        <f t="array" ref="G256">_xlfn.XLOOKUP(C256, customers!$A$1:A1255,customers!$B$1:B1255,,0)</f>
        <v>Rosaline McLae</v>
      </c>
      <c r="H256" s="2" t="str" cm="1">
        <f t="array" ref="H256">IF(_xlfn.XLOOKUP(C256,customers!$A$1:A1255,customers!$C$1:C1255,,0) = 0,"", _xlfn.XLOOKUP(C256,customers!$A$1:A1255,customers!$C$1:C1255,,0))</f>
        <v>rmclae72@dailymotion.com</v>
      </c>
      <c r="I256" s="2" t="str">
        <f>_xlfn.XLOOKUP(C256,customers!$A$1:$A$1001,customers!$G$1:$G$1001,,0)</f>
        <v>United Kingdom</v>
      </c>
      <c r="J256" s="2" t="str">
        <f>_xlfn.XLOOKUP(Orders[[#This Row],[Customer ID]],customers!$A$1:$A$1001,customers!$F$1:$F$1001,,0)</f>
        <v>Swindon</v>
      </c>
      <c r="K256" t="str">
        <f>INDEX(products!$A$1:$G$49,MATCH(orders!$D256,products!$A$1:$A$49,0),MATCH(orders!K$1,products!$A$1:$G$1,0))</f>
        <v>Rob</v>
      </c>
      <c r="L256" t="str">
        <f>INDEX(products!$A$1:$G$49,MATCH(orders!$D256,products!$A$1:$A$49,0),MATCH(orders!L$1,products!$A$1:$G$1,0))</f>
        <v>L</v>
      </c>
      <c r="M256" s="14">
        <f>INDEX(products!$A$1:$G$49,MATCH(orders!$D256,products!$A$1:$A$49,0),MATCH(orders!M$1,products!$A$1:$G$1,0))</f>
        <v>0.5</v>
      </c>
      <c r="N256" s="4">
        <f>INDEX(products!$A$1:$G$49,MATCH(orders!$D256,products!$A$1:$A$49,0),MATCH(orders!N$1,products!$A$1:$G$1,0))</f>
        <v>7.169999999999999</v>
      </c>
      <c r="O256" s="13">
        <f t="shared" si="15"/>
        <v>28.679999999999996</v>
      </c>
      <c r="P256" s="13">
        <f>_xlfn.XLOOKUP(Orders[[#This Row],[Product ID]],products!$A$1:$A$49,products!$G$1:$G$49,,0)</f>
        <v>0.43019999999999992</v>
      </c>
      <c r="Q256" s="13">
        <f t="shared" si="16"/>
        <v>1.7207999999999997</v>
      </c>
      <c r="R256" t="str">
        <f t="shared" si="18"/>
        <v>Robusta</v>
      </c>
      <c r="S256" t="str">
        <f t="shared" si="19"/>
        <v>Light</v>
      </c>
      <c r="T256" t="str">
        <f>_xlfn.XLOOKUP(Orders[[#This Row],[Customer ID]],customers!$A$1:$A$1001,customers!$I$1:$I$1001,,0)</f>
        <v>No</v>
      </c>
    </row>
    <row r="257" spans="1:20" x14ac:dyDescent="0.35">
      <c r="A257" s="2" t="s">
        <v>1928</v>
      </c>
      <c r="B257" s="3">
        <v>44439</v>
      </c>
      <c r="C257" s="2" t="s">
        <v>1929</v>
      </c>
      <c r="D257" t="s">
        <v>6173</v>
      </c>
      <c r="E257" t="str">
        <f t="shared" si="17"/>
        <v>Robusta-Light-0.5</v>
      </c>
      <c r="F257" s="2">
        <v>3</v>
      </c>
      <c r="G257" s="2" t="str" cm="1">
        <f t="array" ref="G257">_xlfn.XLOOKUP(C257, customers!$A$1:A1256,customers!$B$1:B1256,,0)</f>
        <v>Cleve Blowfelde</v>
      </c>
      <c r="H257" s="2" t="str" cm="1">
        <f t="array" ref="H257">IF(_xlfn.XLOOKUP(C257,customers!$A$1:A1256,customers!$C$1:C1256,,0) = 0,"", _xlfn.XLOOKUP(C257,customers!$A$1:A1256,customers!$C$1:C1256,,0))</f>
        <v>cblowfelde73@ustream.tv</v>
      </c>
      <c r="I257" s="2" t="str">
        <f>_xlfn.XLOOKUP(C257,customers!$A$1:$A$1001,customers!$G$1:$G$1001,,0)</f>
        <v>United States</v>
      </c>
      <c r="J257" s="2" t="str">
        <f>_xlfn.XLOOKUP(Orders[[#This Row],[Customer ID]],customers!$A$1:$A$1001,customers!$F$1:$F$1001,,0)</f>
        <v>Tucson</v>
      </c>
      <c r="K257" t="str">
        <f>INDEX(products!$A$1:$G$49,MATCH(orders!$D257,products!$A$1:$A$49,0),MATCH(orders!K$1,products!$A$1:$G$1,0))</f>
        <v>Rob</v>
      </c>
      <c r="L257" t="str">
        <f>INDEX(products!$A$1:$G$49,MATCH(orders!$D257,products!$A$1:$A$49,0),MATCH(orders!L$1,products!$A$1:$G$1,0))</f>
        <v>L</v>
      </c>
      <c r="M257" s="14">
        <f>INDEX(products!$A$1:$G$49,MATCH(orders!$D257,products!$A$1:$A$49,0),MATCH(orders!M$1,products!$A$1:$G$1,0))</f>
        <v>0.5</v>
      </c>
      <c r="N257" s="4">
        <f>INDEX(products!$A$1:$G$49,MATCH(orders!$D257,products!$A$1:$A$49,0),MATCH(orders!N$1,products!$A$1:$G$1,0))</f>
        <v>7.169999999999999</v>
      </c>
      <c r="O257" s="13">
        <f t="shared" si="15"/>
        <v>21.509999999999998</v>
      </c>
      <c r="P257" s="13">
        <f>_xlfn.XLOOKUP(Orders[[#This Row],[Product ID]],products!$A$1:$A$49,products!$G$1:$G$49,,0)</f>
        <v>0.43019999999999992</v>
      </c>
      <c r="Q257" s="13">
        <f t="shared" si="16"/>
        <v>1.2905999999999997</v>
      </c>
      <c r="R257" t="str">
        <f t="shared" si="18"/>
        <v>Robusta</v>
      </c>
      <c r="S257" t="str">
        <f t="shared" si="19"/>
        <v>Light</v>
      </c>
      <c r="T257" t="str">
        <f>_xlfn.XLOOKUP(Orders[[#This Row],[Customer ID]],customers!$A$1:$A$1001,customers!$I$1:$I$1001,,0)</f>
        <v>No</v>
      </c>
    </row>
    <row r="258" spans="1:20" x14ac:dyDescent="0.35">
      <c r="A258" s="2" t="s">
        <v>1934</v>
      </c>
      <c r="B258" s="3">
        <v>43846</v>
      </c>
      <c r="C258" s="2" t="s">
        <v>1935</v>
      </c>
      <c r="D258" t="s">
        <v>6160</v>
      </c>
      <c r="E258" t="str">
        <f t="shared" si="17"/>
        <v>Liberica-Medium-0.5</v>
      </c>
      <c r="F258" s="2">
        <v>2</v>
      </c>
      <c r="G258" s="2" t="str" cm="1">
        <f t="array" ref="G258">_xlfn.XLOOKUP(C258, customers!$A$1:A1257,customers!$B$1:B1257,,0)</f>
        <v>Zacharias Kiffe</v>
      </c>
      <c r="H258" s="2" t="str" cm="1">
        <f t="array" ref="H258">IF(_xlfn.XLOOKUP(C258,customers!$A$1:A1257,customers!$C$1:C1257,,0) = 0,"", _xlfn.XLOOKUP(C258,customers!$A$1:A1257,customers!$C$1:C1257,,0))</f>
        <v>zkiffe74@cyberchimps.com</v>
      </c>
      <c r="I258" s="2" t="str">
        <f>_xlfn.XLOOKUP(C258,customers!$A$1:$A$1001,customers!$G$1:$G$1001,,0)</f>
        <v>United States</v>
      </c>
      <c r="J258" s="2" t="str">
        <f>_xlfn.XLOOKUP(Orders[[#This Row],[Customer ID]],customers!$A$1:$A$1001,customers!$F$1:$F$1001,,0)</f>
        <v>Milwaukee</v>
      </c>
      <c r="K258" t="str">
        <f>INDEX(products!$A$1:$G$49,MATCH(orders!$D258,products!$A$1:$A$49,0),MATCH(orders!K$1,products!$A$1:$G$1,0))</f>
        <v>Lib</v>
      </c>
      <c r="L258" t="str">
        <f>INDEX(products!$A$1:$G$49,MATCH(orders!$D258,products!$A$1:$A$49,0),MATCH(orders!L$1,products!$A$1:$G$1,0))</f>
        <v>M</v>
      </c>
      <c r="M258" s="14">
        <f>INDEX(products!$A$1:$G$49,MATCH(orders!$D258,products!$A$1:$A$49,0),MATCH(orders!M$1,products!$A$1:$G$1,0))</f>
        <v>0.5</v>
      </c>
      <c r="N258" s="4">
        <f>INDEX(products!$A$1:$G$49,MATCH(orders!$D258,products!$A$1:$A$49,0),MATCH(orders!N$1,products!$A$1:$G$1,0))</f>
        <v>8.73</v>
      </c>
      <c r="O258" s="13">
        <f t="shared" ref="O258:O321" si="20">N258*F258</f>
        <v>17.46</v>
      </c>
      <c r="P258" s="13">
        <f>_xlfn.XLOOKUP(Orders[[#This Row],[Product ID]],products!$A$1:$A$49,products!$G$1:$G$49,,0)</f>
        <v>1.1349</v>
      </c>
      <c r="Q258" s="13">
        <f t="shared" ref="Q258:Q321" si="21">P258*F258</f>
        <v>2.2698</v>
      </c>
      <c r="R258" t="str">
        <f t="shared" si="18"/>
        <v>Liberica</v>
      </c>
      <c r="S258" t="str">
        <f t="shared" si="19"/>
        <v>Medium</v>
      </c>
      <c r="T258" t="str">
        <f>_xlfn.XLOOKUP(Orders[[#This Row],[Customer ID]],customers!$A$1:$A$1001,customers!$I$1:$I$1001,,0)</f>
        <v>Yes</v>
      </c>
    </row>
    <row r="259" spans="1:20" x14ac:dyDescent="0.35">
      <c r="A259" s="2" t="s">
        <v>1940</v>
      </c>
      <c r="B259" s="3">
        <v>44676</v>
      </c>
      <c r="C259" s="2" t="s">
        <v>1941</v>
      </c>
      <c r="D259" t="s">
        <v>6185</v>
      </c>
      <c r="E259" t="str">
        <f t="shared" ref="E259:E322" si="22">IF(LEFT(D259,1)="R", "Robusta",
    IF(LEFT(D259,1)="A", "Arabica",
        IF(LEFT(D259,1)="E", "Excelsa",
            IF(LEFT(D259,1)="L", "Liberica", "")
        )
    )
) &amp; "-" &amp;
IF(MID(D259,3,1)="D", "Dark",
    IF(MID(D259,3,1)="M", "Medium",
        IF(MID(D259,3,1)="L", "Light", "")
    )
) &amp; "-" &amp;
MID(D259,5,LEN(D259)-4)</f>
        <v>Excelsa-Dark-2.5</v>
      </c>
      <c r="F259" s="2">
        <v>1</v>
      </c>
      <c r="G259" s="2" t="str" cm="1">
        <f t="array" ref="G259">_xlfn.XLOOKUP(C259, customers!$A$1:A1258,customers!$B$1:B1258,,0)</f>
        <v>Denyse O'Calleran</v>
      </c>
      <c r="H259" s="2" t="str" cm="1">
        <f t="array" ref="H259">IF(_xlfn.XLOOKUP(C259,customers!$A$1:A1258,customers!$C$1:C1258,,0) = 0,"", _xlfn.XLOOKUP(C259,customers!$A$1:A1258,customers!$C$1:C1258,,0))</f>
        <v>docalleran75@ucla.edu</v>
      </c>
      <c r="I259" s="2" t="str">
        <f>_xlfn.XLOOKUP(C259,customers!$A$1:$A$1001,customers!$G$1:$G$1001,,0)</f>
        <v>United States</v>
      </c>
      <c r="J259" s="2" t="str">
        <f>_xlfn.XLOOKUP(Orders[[#This Row],[Customer ID]],customers!$A$1:$A$1001,customers!$F$1:$F$1001,,0)</f>
        <v>Pompano Beach</v>
      </c>
      <c r="K259" t="str">
        <f>INDEX(products!$A$1:$G$49,MATCH(orders!$D259,products!$A$1:$A$49,0),MATCH(orders!K$1,products!$A$1:$G$1,0))</f>
        <v>Exc</v>
      </c>
      <c r="L259" t="str">
        <f>INDEX(products!$A$1:$G$49,MATCH(orders!$D259,products!$A$1:$A$49,0),MATCH(orders!L$1,products!$A$1:$G$1,0))</f>
        <v>D</v>
      </c>
      <c r="M259" s="14">
        <f>INDEX(products!$A$1:$G$49,MATCH(orders!$D259,products!$A$1:$A$49,0),MATCH(orders!M$1,products!$A$1:$G$1,0))</f>
        <v>2.5</v>
      </c>
      <c r="N259" s="4">
        <f>INDEX(products!$A$1:$G$49,MATCH(orders!$D259,products!$A$1:$A$49,0),MATCH(orders!N$1,products!$A$1:$G$1,0))</f>
        <v>27.945</v>
      </c>
      <c r="O259" s="13">
        <f t="shared" si="20"/>
        <v>27.945</v>
      </c>
      <c r="P259" s="13">
        <f>_xlfn.XLOOKUP(Orders[[#This Row],[Product ID]],products!$A$1:$A$49,products!$G$1:$G$49,,0)</f>
        <v>3.07395</v>
      </c>
      <c r="Q259" s="13">
        <f t="shared" si="21"/>
        <v>3.07395</v>
      </c>
      <c r="R259" t="str">
        <f t="shared" ref="R259:R322" si="23">IF(K259="Rob","Robusta",IF(K259="Exc","Execelsa",IF(K259="Ara","Arabica",IF(K259="Lib","Liberica",""))))</f>
        <v>Execelsa</v>
      </c>
      <c r="S259" t="str">
        <f t="shared" ref="S259:S322" si="24" xml:space="preserve"> IF(L259="M", "Medium", IF(L259="L","Light",IF(L259="D","Dark","")))</f>
        <v>Dark</v>
      </c>
      <c r="T259" t="str">
        <f>_xlfn.XLOOKUP(Orders[[#This Row],[Customer ID]],customers!$A$1:$A$1001,customers!$I$1:$I$1001,,0)</f>
        <v>Yes</v>
      </c>
    </row>
    <row r="260" spans="1:20" x14ac:dyDescent="0.35">
      <c r="A260" s="2" t="s">
        <v>1946</v>
      </c>
      <c r="B260" s="3">
        <v>44513</v>
      </c>
      <c r="C260" s="2" t="s">
        <v>1947</v>
      </c>
      <c r="D260" t="s">
        <v>6185</v>
      </c>
      <c r="E260" t="str">
        <f t="shared" si="22"/>
        <v>Excelsa-Dark-2.5</v>
      </c>
      <c r="F260" s="2">
        <v>5</v>
      </c>
      <c r="G260" s="2" t="str" cm="1">
        <f t="array" ref="G260">_xlfn.XLOOKUP(C260, customers!$A$1:A1259,customers!$B$1:B1259,,0)</f>
        <v>Cobby Cromwell</v>
      </c>
      <c r="H260" s="2" t="str" cm="1">
        <f t="array" ref="H260">IF(_xlfn.XLOOKUP(C260,customers!$A$1:A1259,customers!$C$1:C1259,,0) = 0,"", _xlfn.XLOOKUP(C260,customers!$A$1:A1259,customers!$C$1:C1259,,0))</f>
        <v>ccromwell76@desdev.cn</v>
      </c>
      <c r="I260" s="2" t="str">
        <f>_xlfn.XLOOKUP(C260,customers!$A$1:$A$1001,customers!$G$1:$G$1001,,0)</f>
        <v>United States</v>
      </c>
      <c r="J260" s="2" t="str">
        <f>_xlfn.XLOOKUP(Orders[[#This Row],[Customer ID]],customers!$A$1:$A$1001,customers!$F$1:$F$1001,,0)</f>
        <v>Whittier</v>
      </c>
      <c r="K260" t="str">
        <f>INDEX(products!$A$1:$G$49,MATCH(orders!$D260,products!$A$1:$A$49,0),MATCH(orders!K$1,products!$A$1:$G$1,0))</f>
        <v>Exc</v>
      </c>
      <c r="L260" t="str">
        <f>INDEX(products!$A$1:$G$49,MATCH(orders!$D260,products!$A$1:$A$49,0),MATCH(orders!L$1,products!$A$1:$G$1,0))</f>
        <v>D</v>
      </c>
      <c r="M260" s="14">
        <f>INDEX(products!$A$1:$G$49,MATCH(orders!$D260,products!$A$1:$A$49,0),MATCH(orders!M$1,products!$A$1:$G$1,0))</f>
        <v>2.5</v>
      </c>
      <c r="N260" s="4">
        <f>INDEX(products!$A$1:$G$49,MATCH(orders!$D260,products!$A$1:$A$49,0),MATCH(orders!N$1,products!$A$1:$G$1,0))</f>
        <v>27.945</v>
      </c>
      <c r="O260" s="13">
        <f t="shared" si="20"/>
        <v>139.72499999999999</v>
      </c>
      <c r="P260" s="13">
        <f>_xlfn.XLOOKUP(Orders[[#This Row],[Product ID]],products!$A$1:$A$49,products!$G$1:$G$49,,0)</f>
        <v>3.07395</v>
      </c>
      <c r="Q260" s="13">
        <f t="shared" si="21"/>
        <v>15.36975</v>
      </c>
      <c r="R260" t="str">
        <f t="shared" si="23"/>
        <v>Execelsa</v>
      </c>
      <c r="S260" t="str">
        <f t="shared" si="24"/>
        <v>Dark</v>
      </c>
      <c r="T260" t="str">
        <f>_xlfn.XLOOKUP(Orders[[#This Row],[Customer ID]],customers!$A$1:$A$1001,customers!$I$1:$I$1001,,0)</f>
        <v>No</v>
      </c>
    </row>
    <row r="261" spans="1:20" x14ac:dyDescent="0.35">
      <c r="A261" s="2" t="s">
        <v>1952</v>
      </c>
      <c r="B261" s="3">
        <v>44355</v>
      </c>
      <c r="C261" s="2" t="s">
        <v>1953</v>
      </c>
      <c r="D261" t="s">
        <v>6174</v>
      </c>
      <c r="E261" t="str">
        <f t="shared" si="22"/>
        <v>Robusta-Medium-0.2</v>
      </c>
      <c r="F261" s="2">
        <v>2</v>
      </c>
      <c r="G261" s="2" t="str" cm="1">
        <f t="array" ref="G261">_xlfn.XLOOKUP(C261, customers!$A$1:A1260,customers!$B$1:B1260,,0)</f>
        <v>Irv Hay</v>
      </c>
      <c r="H261" s="2" t="str" cm="1">
        <f t="array" ref="H261">IF(_xlfn.XLOOKUP(C261,customers!$A$1:A1260,customers!$C$1:C1260,,0) = 0,"", _xlfn.XLOOKUP(C261,customers!$A$1:A1260,customers!$C$1:C1260,,0))</f>
        <v>ihay77@lulu.com</v>
      </c>
      <c r="I261" s="2" t="str">
        <f>_xlfn.XLOOKUP(C261,customers!$A$1:$A$1001,customers!$G$1:$G$1001,,0)</f>
        <v>United Kingdom</v>
      </c>
      <c r="J261" s="2" t="str">
        <f>_xlfn.XLOOKUP(Orders[[#This Row],[Customer ID]],customers!$A$1:$A$1001,customers!$F$1:$F$1001,,0)</f>
        <v>Sheffield</v>
      </c>
      <c r="K261" t="str">
        <f>INDEX(products!$A$1:$G$49,MATCH(orders!$D261,products!$A$1:$A$49,0),MATCH(orders!K$1,products!$A$1:$G$1,0))</f>
        <v>Rob</v>
      </c>
      <c r="L261" t="str">
        <f>INDEX(products!$A$1:$G$49,MATCH(orders!$D261,products!$A$1:$A$49,0),MATCH(orders!L$1,products!$A$1:$G$1,0))</f>
        <v>M</v>
      </c>
      <c r="M261" s="14">
        <f>INDEX(products!$A$1:$G$49,MATCH(orders!$D261,products!$A$1:$A$49,0),MATCH(orders!M$1,products!$A$1:$G$1,0))</f>
        <v>0.2</v>
      </c>
      <c r="N261" s="4">
        <f>INDEX(products!$A$1:$G$49,MATCH(orders!$D261,products!$A$1:$A$49,0),MATCH(orders!N$1,products!$A$1:$G$1,0))</f>
        <v>2.9849999999999999</v>
      </c>
      <c r="O261" s="13">
        <f t="shared" si="20"/>
        <v>5.97</v>
      </c>
      <c r="P261" s="13">
        <f>_xlfn.XLOOKUP(Orders[[#This Row],[Product ID]],products!$A$1:$A$49,products!$G$1:$G$49,,0)</f>
        <v>0.17909999999999998</v>
      </c>
      <c r="Q261" s="13">
        <f t="shared" si="21"/>
        <v>0.35819999999999996</v>
      </c>
      <c r="R261" t="str">
        <f t="shared" si="23"/>
        <v>Robusta</v>
      </c>
      <c r="S261" t="str">
        <f t="shared" si="24"/>
        <v>Medium</v>
      </c>
      <c r="T261" t="str">
        <f>_xlfn.XLOOKUP(Orders[[#This Row],[Customer ID]],customers!$A$1:$A$1001,customers!$I$1:$I$1001,,0)</f>
        <v>No</v>
      </c>
    </row>
    <row r="262" spans="1:20" x14ac:dyDescent="0.35">
      <c r="A262" s="2" t="s">
        <v>1958</v>
      </c>
      <c r="B262" s="3">
        <v>44156</v>
      </c>
      <c r="C262" s="2" t="s">
        <v>1959</v>
      </c>
      <c r="D262" t="s">
        <v>6142</v>
      </c>
      <c r="E262" t="str">
        <f t="shared" si="22"/>
        <v>Robusta-Light-2.5</v>
      </c>
      <c r="F262" s="2">
        <v>1</v>
      </c>
      <c r="G262" s="2" t="str" cm="1">
        <f t="array" ref="G262">_xlfn.XLOOKUP(C262, customers!$A$1:A1261,customers!$B$1:B1261,,0)</f>
        <v>Tani Taffarello</v>
      </c>
      <c r="H262" s="2" t="str" cm="1">
        <f t="array" ref="H262">IF(_xlfn.XLOOKUP(C262,customers!$A$1:A1261,customers!$C$1:C1261,,0) = 0,"", _xlfn.XLOOKUP(C262,customers!$A$1:A1261,customers!$C$1:C1261,,0))</f>
        <v>ttaffarello78@sciencedaily.com</v>
      </c>
      <c r="I262" s="2" t="str">
        <f>_xlfn.XLOOKUP(C262,customers!$A$1:$A$1001,customers!$G$1:$G$1001,,0)</f>
        <v>United States</v>
      </c>
      <c r="J262" s="2" t="str">
        <f>_xlfn.XLOOKUP(Orders[[#This Row],[Customer ID]],customers!$A$1:$A$1001,customers!$F$1:$F$1001,,0)</f>
        <v>Saint Louis</v>
      </c>
      <c r="K262" t="str">
        <f>INDEX(products!$A$1:$G$49,MATCH(orders!$D262,products!$A$1:$A$49,0),MATCH(orders!K$1,products!$A$1:$G$1,0))</f>
        <v>Rob</v>
      </c>
      <c r="L262" t="str">
        <f>INDEX(products!$A$1:$G$49,MATCH(orders!$D262,products!$A$1:$A$49,0),MATCH(orders!L$1,products!$A$1:$G$1,0))</f>
        <v>L</v>
      </c>
      <c r="M262" s="14">
        <f>INDEX(products!$A$1:$G$49,MATCH(orders!$D262,products!$A$1:$A$49,0),MATCH(orders!M$1,products!$A$1:$G$1,0))</f>
        <v>2.5</v>
      </c>
      <c r="N262" s="4">
        <f>INDEX(products!$A$1:$G$49,MATCH(orders!$D262,products!$A$1:$A$49,0),MATCH(orders!N$1,products!$A$1:$G$1,0))</f>
        <v>27.484999999999996</v>
      </c>
      <c r="O262" s="13">
        <f t="shared" si="20"/>
        <v>27.484999999999996</v>
      </c>
      <c r="P262" s="13">
        <f>_xlfn.XLOOKUP(Orders[[#This Row],[Product ID]],products!$A$1:$A$49,products!$G$1:$G$49,,0)</f>
        <v>1.6490999999999998</v>
      </c>
      <c r="Q262" s="13">
        <f t="shared" si="21"/>
        <v>1.6490999999999998</v>
      </c>
      <c r="R262" t="str">
        <f t="shared" si="23"/>
        <v>Robusta</v>
      </c>
      <c r="S262" t="str">
        <f t="shared" si="24"/>
        <v>Light</v>
      </c>
      <c r="T262" t="str">
        <f>_xlfn.XLOOKUP(Orders[[#This Row],[Customer ID]],customers!$A$1:$A$1001,customers!$I$1:$I$1001,,0)</f>
        <v>Yes</v>
      </c>
    </row>
    <row r="263" spans="1:20" x14ac:dyDescent="0.35">
      <c r="A263" s="2" t="s">
        <v>1963</v>
      </c>
      <c r="B263" s="3">
        <v>43538</v>
      </c>
      <c r="C263" s="2" t="s">
        <v>1964</v>
      </c>
      <c r="D263" t="s">
        <v>6179</v>
      </c>
      <c r="E263" t="str">
        <f t="shared" si="22"/>
        <v>Robusta-Light-1</v>
      </c>
      <c r="F263" s="2">
        <v>5</v>
      </c>
      <c r="G263" s="2" t="str" cm="1">
        <f t="array" ref="G263">_xlfn.XLOOKUP(C263, customers!$A$1:A1262,customers!$B$1:B1262,,0)</f>
        <v>Monique Canty</v>
      </c>
      <c r="H263" s="2" t="str" cm="1">
        <f t="array" ref="H263">IF(_xlfn.XLOOKUP(C263,customers!$A$1:A1262,customers!$C$1:C1262,,0) = 0,"", _xlfn.XLOOKUP(C263,customers!$A$1:A1262,customers!$C$1:C1262,,0))</f>
        <v>mcanty79@jigsy.com</v>
      </c>
      <c r="I263" s="2" t="str">
        <f>_xlfn.XLOOKUP(C263,customers!$A$1:$A$1001,customers!$G$1:$G$1001,,0)</f>
        <v>United States</v>
      </c>
      <c r="J263" s="2" t="str">
        <f>_xlfn.XLOOKUP(Orders[[#This Row],[Customer ID]],customers!$A$1:$A$1001,customers!$F$1:$F$1001,,0)</f>
        <v>Erie</v>
      </c>
      <c r="K263" t="str">
        <f>INDEX(products!$A$1:$G$49,MATCH(orders!$D263,products!$A$1:$A$49,0),MATCH(orders!K$1,products!$A$1:$G$1,0))</f>
        <v>Rob</v>
      </c>
      <c r="L263" t="str">
        <f>INDEX(products!$A$1:$G$49,MATCH(orders!$D263,products!$A$1:$A$49,0),MATCH(orders!L$1,products!$A$1:$G$1,0))</f>
        <v>L</v>
      </c>
      <c r="M263" s="14">
        <f>INDEX(products!$A$1:$G$49,MATCH(orders!$D263,products!$A$1:$A$49,0),MATCH(orders!M$1,products!$A$1:$G$1,0))</f>
        <v>1</v>
      </c>
      <c r="N263" s="4">
        <f>INDEX(products!$A$1:$G$49,MATCH(orders!$D263,products!$A$1:$A$49,0),MATCH(orders!N$1,products!$A$1:$G$1,0))</f>
        <v>11.95</v>
      </c>
      <c r="O263" s="13">
        <f t="shared" si="20"/>
        <v>59.75</v>
      </c>
      <c r="P263" s="13">
        <f>_xlfn.XLOOKUP(Orders[[#This Row],[Product ID]],products!$A$1:$A$49,products!$G$1:$G$49,,0)</f>
        <v>0.71699999999999997</v>
      </c>
      <c r="Q263" s="13">
        <f t="shared" si="21"/>
        <v>3.585</v>
      </c>
      <c r="R263" t="str">
        <f t="shared" si="23"/>
        <v>Robusta</v>
      </c>
      <c r="S263" t="str">
        <f t="shared" si="24"/>
        <v>Light</v>
      </c>
      <c r="T263" t="str">
        <f>_xlfn.XLOOKUP(Orders[[#This Row],[Customer ID]],customers!$A$1:$A$1001,customers!$I$1:$I$1001,,0)</f>
        <v>Yes</v>
      </c>
    </row>
    <row r="264" spans="1:20" x14ac:dyDescent="0.35">
      <c r="A264" s="2" t="s">
        <v>1969</v>
      </c>
      <c r="B264" s="3">
        <v>43693</v>
      </c>
      <c r="C264" s="2" t="s">
        <v>1970</v>
      </c>
      <c r="D264" t="s">
        <v>6141</v>
      </c>
      <c r="E264" t="str">
        <f t="shared" si="22"/>
        <v>Excelsa-Medium-1</v>
      </c>
      <c r="F264" s="2">
        <v>3</v>
      </c>
      <c r="G264" s="2" t="str" cm="1">
        <f t="array" ref="G264">_xlfn.XLOOKUP(C264, customers!$A$1:A1263,customers!$B$1:B1263,,0)</f>
        <v>Javier Kopke</v>
      </c>
      <c r="H264" s="2" t="str" cm="1">
        <f t="array" ref="H264">IF(_xlfn.XLOOKUP(C264,customers!$A$1:A1263,customers!$C$1:C1263,,0) = 0,"", _xlfn.XLOOKUP(C264,customers!$A$1:A1263,customers!$C$1:C1263,,0))</f>
        <v>jkopke7a@auda.org.au</v>
      </c>
      <c r="I264" s="2" t="str">
        <f>_xlfn.XLOOKUP(C264,customers!$A$1:$A$1001,customers!$G$1:$G$1001,,0)</f>
        <v>United States</v>
      </c>
      <c r="J264" s="2" t="str">
        <f>_xlfn.XLOOKUP(Orders[[#This Row],[Customer ID]],customers!$A$1:$A$1001,customers!$F$1:$F$1001,,0)</f>
        <v>Tacoma</v>
      </c>
      <c r="K264" t="str">
        <f>INDEX(products!$A$1:$G$49,MATCH(orders!$D264,products!$A$1:$A$49,0),MATCH(orders!K$1,products!$A$1:$G$1,0))</f>
        <v>Exc</v>
      </c>
      <c r="L264" t="str">
        <f>INDEX(products!$A$1:$G$49,MATCH(orders!$D264,products!$A$1:$A$49,0),MATCH(orders!L$1,products!$A$1:$G$1,0))</f>
        <v>M</v>
      </c>
      <c r="M264" s="14">
        <f>INDEX(products!$A$1:$G$49,MATCH(orders!$D264,products!$A$1:$A$49,0),MATCH(orders!M$1,products!$A$1:$G$1,0))</f>
        <v>1</v>
      </c>
      <c r="N264" s="4">
        <f>INDEX(products!$A$1:$G$49,MATCH(orders!$D264,products!$A$1:$A$49,0),MATCH(orders!N$1,products!$A$1:$G$1,0))</f>
        <v>13.75</v>
      </c>
      <c r="O264" s="13">
        <f t="shared" si="20"/>
        <v>41.25</v>
      </c>
      <c r="P264" s="13">
        <f>_xlfn.XLOOKUP(Orders[[#This Row],[Product ID]],products!$A$1:$A$49,products!$G$1:$G$49,,0)</f>
        <v>1.5125</v>
      </c>
      <c r="Q264" s="13">
        <f t="shared" si="21"/>
        <v>4.5374999999999996</v>
      </c>
      <c r="R264" t="str">
        <f t="shared" si="23"/>
        <v>Execelsa</v>
      </c>
      <c r="S264" t="str">
        <f t="shared" si="24"/>
        <v>Medium</v>
      </c>
      <c r="T264" t="str">
        <f>_xlfn.XLOOKUP(Orders[[#This Row],[Customer ID]],customers!$A$1:$A$1001,customers!$I$1:$I$1001,,0)</f>
        <v>No</v>
      </c>
    </row>
    <row r="265" spans="1:20" x14ac:dyDescent="0.35">
      <c r="A265" s="2" t="s">
        <v>1975</v>
      </c>
      <c r="B265" s="3">
        <v>43577</v>
      </c>
      <c r="C265" s="2" t="s">
        <v>1976</v>
      </c>
      <c r="D265" t="s">
        <v>6181</v>
      </c>
      <c r="E265" t="str">
        <f t="shared" si="22"/>
        <v>Liberica-Medium-2.5</v>
      </c>
      <c r="F265" s="2">
        <v>4</v>
      </c>
      <c r="G265" s="2" t="str" cm="1">
        <f t="array" ref="G265">_xlfn.XLOOKUP(C265, customers!$A$1:A1264,customers!$B$1:B1264,,0)</f>
        <v>Mar McIver</v>
      </c>
      <c r="H265" s="2" t="str" cm="1">
        <f t="array" ref="H265">IF(_xlfn.XLOOKUP(C265,customers!$A$1:A1264,customers!$C$1:C1264,,0) = 0,"", _xlfn.XLOOKUP(C265,customers!$A$1:A1264,customers!$C$1:C1264,,0))</f>
        <v/>
      </c>
      <c r="I265" s="2" t="str">
        <f>_xlfn.XLOOKUP(C265,customers!$A$1:$A$1001,customers!$G$1:$G$1001,,0)</f>
        <v>United States</v>
      </c>
      <c r="J265" s="2" t="str">
        <f>_xlfn.XLOOKUP(Orders[[#This Row],[Customer ID]],customers!$A$1:$A$1001,customers!$F$1:$F$1001,,0)</f>
        <v>Richmond</v>
      </c>
      <c r="K265" t="str">
        <f>INDEX(products!$A$1:$G$49,MATCH(orders!$D265,products!$A$1:$A$49,0),MATCH(orders!K$1,products!$A$1:$G$1,0))</f>
        <v>Lib</v>
      </c>
      <c r="L265" t="str">
        <f>INDEX(products!$A$1:$G$49,MATCH(orders!$D265,products!$A$1:$A$49,0),MATCH(orders!L$1,products!$A$1:$G$1,0))</f>
        <v>M</v>
      </c>
      <c r="M265" s="14">
        <f>INDEX(products!$A$1:$G$49,MATCH(orders!$D265,products!$A$1:$A$49,0),MATCH(orders!M$1,products!$A$1:$G$1,0))</f>
        <v>2.5</v>
      </c>
      <c r="N265" s="4">
        <f>INDEX(products!$A$1:$G$49,MATCH(orders!$D265,products!$A$1:$A$49,0),MATCH(orders!N$1,products!$A$1:$G$1,0))</f>
        <v>33.464999999999996</v>
      </c>
      <c r="O265" s="13">
        <f t="shared" si="20"/>
        <v>133.85999999999999</v>
      </c>
      <c r="P265" s="13">
        <f>_xlfn.XLOOKUP(Orders[[#This Row],[Product ID]],products!$A$1:$A$49,products!$G$1:$G$49,,0)</f>
        <v>4.3504499999999995</v>
      </c>
      <c r="Q265" s="13">
        <f t="shared" si="21"/>
        <v>17.401799999999998</v>
      </c>
      <c r="R265" t="str">
        <f t="shared" si="23"/>
        <v>Liberica</v>
      </c>
      <c r="S265" t="str">
        <f t="shared" si="24"/>
        <v>Medium</v>
      </c>
      <c r="T265" t="str">
        <f>_xlfn.XLOOKUP(Orders[[#This Row],[Customer ID]],customers!$A$1:$A$1001,customers!$I$1:$I$1001,,0)</f>
        <v>No</v>
      </c>
    </row>
    <row r="266" spans="1:20" x14ac:dyDescent="0.35">
      <c r="A266" s="2" t="s">
        <v>1980</v>
      </c>
      <c r="B266" s="3">
        <v>44683</v>
      </c>
      <c r="C266" s="2" t="s">
        <v>1981</v>
      </c>
      <c r="D266" t="s">
        <v>6179</v>
      </c>
      <c r="E266" t="str">
        <f t="shared" si="22"/>
        <v>Robusta-Light-1</v>
      </c>
      <c r="F266" s="2">
        <v>5</v>
      </c>
      <c r="G266" s="2" t="str" cm="1">
        <f t="array" ref="G266">_xlfn.XLOOKUP(C266, customers!$A$1:A1265,customers!$B$1:B1265,,0)</f>
        <v>Arabella Fransewich</v>
      </c>
      <c r="H266" s="2" t="str" cm="1">
        <f t="array" ref="H266">IF(_xlfn.XLOOKUP(C266,customers!$A$1:A1265,customers!$C$1:C1265,,0) = 0,"", _xlfn.XLOOKUP(C266,customers!$A$1:A1265,customers!$C$1:C1265,,0))</f>
        <v/>
      </c>
      <c r="I266" s="2" t="str">
        <f>_xlfn.XLOOKUP(C266,customers!$A$1:$A$1001,customers!$G$1:$G$1001,,0)</f>
        <v>Ireland</v>
      </c>
      <c r="J266" s="2" t="str">
        <f>_xlfn.XLOOKUP(Orders[[#This Row],[Customer ID]],customers!$A$1:$A$1001,customers!$F$1:$F$1001,,0)</f>
        <v>Kinsealy-Drinan</v>
      </c>
      <c r="K266" t="str">
        <f>INDEX(products!$A$1:$G$49,MATCH(orders!$D266,products!$A$1:$A$49,0),MATCH(orders!K$1,products!$A$1:$G$1,0))</f>
        <v>Rob</v>
      </c>
      <c r="L266" t="str">
        <f>INDEX(products!$A$1:$G$49,MATCH(orders!$D266,products!$A$1:$A$49,0),MATCH(orders!L$1,products!$A$1:$G$1,0))</f>
        <v>L</v>
      </c>
      <c r="M266" s="14">
        <f>INDEX(products!$A$1:$G$49,MATCH(orders!$D266,products!$A$1:$A$49,0),MATCH(orders!M$1,products!$A$1:$G$1,0))</f>
        <v>1</v>
      </c>
      <c r="N266" s="4">
        <f>INDEX(products!$A$1:$G$49,MATCH(orders!$D266,products!$A$1:$A$49,0),MATCH(orders!N$1,products!$A$1:$G$1,0))</f>
        <v>11.95</v>
      </c>
      <c r="O266" s="13">
        <f t="shared" si="20"/>
        <v>59.75</v>
      </c>
      <c r="P266" s="13">
        <f>_xlfn.XLOOKUP(Orders[[#This Row],[Product ID]],products!$A$1:$A$49,products!$G$1:$G$49,,0)</f>
        <v>0.71699999999999997</v>
      </c>
      <c r="Q266" s="13">
        <f t="shared" si="21"/>
        <v>3.585</v>
      </c>
      <c r="R266" t="str">
        <f t="shared" si="23"/>
        <v>Robusta</v>
      </c>
      <c r="S266" t="str">
        <f t="shared" si="24"/>
        <v>Light</v>
      </c>
      <c r="T266" t="str">
        <f>_xlfn.XLOOKUP(Orders[[#This Row],[Customer ID]],customers!$A$1:$A$1001,customers!$I$1:$I$1001,,0)</f>
        <v>Yes</v>
      </c>
    </row>
    <row r="267" spans="1:20" x14ac:dyDescent="0.35">
      <c r="A267" s="2" t="s">
        <v>1986</v>
      </c>
      <c r="B267" s="3">
        <v>43872</v>
      </c>
      <c r="C267" s="2" t="s">
        <v>1987</v>
      </c>
      <c r="D267" t="s">
        <v>6158</v>
      </c>
      <c r="E267" t="str">
        <f t="shared" si="22"/>
        <v>Arabica-Dark-0.5</v>
      </c>
      <c r="F267" s="2">
        <v>1</v>
      </c>
      <c r="G267" s="2" t="str" cm="1">
        <f t="array" ref="G267">_xlfn.XLOOKUP(C267, customers!$A$1:A1266,customers!$B$1:B1266,,0)</f>
        <v>Violette Hellmore</v>
      </c>
      <c r="H267" s="2" t="str" cm="1">
        <f t="array" ref="H267">IF(_xlfn.XLOOKUP(C267,customers!$A$1:A1266,customers!$C$1:C1266,,0) = 0,"", _xlfn.XLOOKUP(C267,customers!$A$1:A1266,customers!$C$1:C1266,,0))</f>
        <v>vhellmore7d@bbc.co.uk</v>
      </c>
      <c r="I267" s="2" t="str">
        <f>_xlfn.XLOOKUP(C267,customers!$A$1:$A$1001,customers!$G$1:$G$1001,,0)</f>
        <v>United States</v>
      </c>
      <c r="J267" s="2" t="str">
        <f>_xlfn.XLOOKUP(Orders[[#This Row],[Customer ID]],customers!$A$1:$A$1001,customers!$F$1:$F$1001,,0)</f>
        <v>Little Rock</v>
      </c>
      <c r="K267" t="str">
        <f>INDEX(products!$A$1:$G$49,MATCH(orders!$D267,products!$A$1:$A$49,0),MATCH(orders!K$1,products!$A$1:$G$1,0))</f>
        <v>Ara</v>
      </c>
      <c r="L267" t="str">
        <f>INDEX(products!$A$1:$G$49,MATCH(orders!$D267,products!$A$1:$A$49,0),MATCH(orders!L$1,products!$A$1:$G$1,0))</f>
        <v>D</v>
      </c>
      <c r="M267" s="14">
        <f>INDEX(products!$A$1:$G$49,MATCH(orders!$D267,products!$A$1:$A$49,0),MATCH(orders!M$1,products!$A$1:$G$1,0))</f>
        <v>0.5</v>
      </c>
      <c r="N267" s="4">
        <f>INDEX(products!$A$1:$G$49,MATCH(orders!$D267,products!$A$1:$A$49,0),MATCH(orders!N$1,products!$A$1:$G$1,0))</f>
        <v>5.97</v>
      </c>
      <c r="O267" s="13">
        <f t="shared" si="20"/>
        <v>5.97</v>
      </c>
      <c r="P267" s="13">
        <f>_xlfn.XLOOKUP(Orders[[#This Row],[Product ID]],products!$A$1:$A$49,products!$G$1:$G$49,,0)</f>
        <v>0.5373</v>
      </c>
      <c r="Q267" s="13">
        <f t="shared" si="21"/>
        <v>0.5373</v>
      </c>
      <c r="R267" t="str">
        <f t="shared" si="23"/>
        <v>Arabica</v>
      </c>
      <c r="S267" t="str">
        <f t="shared" si="24"/>
        <v>Dark</v>
      </c>
      <c r="T267" t="str">
        <f>_xlfn.XLOOKUP(Orders[[#This Row],[Customer ID]],customers!$A$1:$A$1001,customers!$I$1:$I$1001,,0)</f>
        <v>Yes</v>
      </c>
    </row>
    <row r="268" spans="1:20" x14ac:dyDescent="0.35">
      <c r="A268" s="2" t="s">
        <v>1992</v>
      </c>
      <c r="B268" s="3">
        <v>44283</v>
      </c>
      <c r="C268" s="2" t="s">
        <v>1993</v>
      </c>
      <c r="D268" t="s">
        <v>6183</v>
      </c>
      <c r="E268" t="str">
        <f t="shared" si="22"/>
        <v>Excelsa-Dark-1</v>
      </c>
      <c r="F268" s="2">
        <v>2</v>
      </c>
      <c r="G268" s="2" t="str" cm="1">
        <f t="array" ref="G268">_xlfn.XLOOKUP(C268, customers!$A$1:A1267,customers!$B$1:B1267,,0)</f>
        <v>Myles Seawright</v>
      </c>
      <c r="H268" s="2" t="str" cm="1">
        <f t="array" ref="H268">IF(_xlfn.XLOOKUP(C268,customers!$A$1:A1267,customers!$C$1:C1267,,0) = 0,"", _xlfn.XLOOKUP(C268,customers!$A$1:A1267,customers!$C$1:C1267,,0))</f>
        <v>mseawright7e@nbcnews.com</v>
      </c>
      <c r="I268" s="2" t="str">
        <f>_xlfn.XLOOKUP(C268,customers!$A$1:$A$1001,customers!$G$1:$G$1001,,0)</f>
        <v>United Kingdom</v>
      </c>
      <c r="J268" s="2" t="str">
        <f>_xlfn.XLOOKUP(Orders[[#This Row],[Customer ID]],customers!$A$1:$A$1001,customers!$F$1:$F$1001,,0)</f>
        <v>Newton</v>
      </c>
      <c r="K268" t="str">
        <f>INDEX(products!$A$1:$G$49,MATCH(orders!$D268,products!$A$1:$A$49,0),MATCH(orders!K$1,products!$A$1:$G$1,0))</f>
        <v>Exc</v>
      </c>
      <c r="L268" t="str">
        <f>INDEX(products!$A$1:$G$49,MATCH(orders!$D268,products!$A$1:$A$49,0),MATCH(orders!L$1,products!$A$1:$G$1,0))</f>
        <v>D</v>
      </c>
      <c r="M268" s="14">
        <f>INDEX(products!$A$1:$G$49,MATCH(orders!$D268,products!$A$1:$A$49,0),MATCH(orders!M$1,products!$A$1:$G$1,0))</f>
        <v>1</v>
      </c>
      <c r="N268" s="4">
        <f>INDEX(products!$A$1:$G$49,MATCH(orders!$D268,products!$A$1:$A$49,0),MATCH(orders!N$1,products!$A$1:$G$1,0))</f>
        <v>12.15</v>
      </c>
      <c r="O268" s="13">
        <f t="shared" si="20"/>
        <v>24.3</v>
      </c>
      <c r="P268" s="13">
        <f>_xlfn.XLOOKUP(Orders[[#This Row],[Product ID]],products!$A$1:$A$49,products!$G$1:$G$49,,0)</f>
        <v>1.3365</v>
      </c>
      <c r="Q268" s="13">
        <f t="shared" si="21"/>
        <v>2.673</v>
      </c>
      <c r="R268" t="str">
        <f t="shared" si="23"/>
        <v>Execelsa</v>
      </c>
      <c r="S268" t="str">
        <f t="shared" si="24"/>
        <v>Dark</v>
      </c>
      <c r="T268" t="str">
        <f>_xlfn.XLOOKUP(Orders[[#This Row],[Customer ID]],customers!$A$1:$A$1001,customers!$I$1:$I$1001,,0)</f>
        <v>No</v>
      </c>
    </row>
    <row r="269" spans="1:20" x14ac:dyDescent="0.35">
      <c r="A269" s="2" t="s">
        <v>1998</v>
      </c>
      <c r="B269" s="3">
        <v>44324</v>
      </c>
      <c r="C269" s="2" t="s">
        <v>1999</v>
      </c>
      <c r="D269" t="s">
        <v>6153</v>
      </c>
      <c r="E269" t="str">
        <f t="shared" si="22"/>
        <v>Excelsa-Dark-0.2</v>
      </c>
      <c r="F269" s="2">
        <v>6</v>
      </c>
      <c r="G269" s="2" t="str" cm="1">
        <f t="array" ref="G269">_xlfn.XLOOKUP(C269, customers!$A$1:A1268,customers!$B$1:B1268,,0)</f>
        <v>Silvana Northeast</v>
      </c>
      <c r="H269" s="2" t="str" cm="1">
        <f t="array" ref="H269">IF(_xlfn.XLOOKUP(C269,customers!$A$1:A1268,customers!$C$1:C1268,,0) = 0,"", _xlfn.XLOOKUP(C269,customers!$A$1:A1268,customers!$C$1:C1268,,0))</f>
        <v>snortheast7f@mashable.com</v>
      </c>
      <c r="I269" s="2" t="str">
        <f>_xlfn.XLOOKUP(C269,customers!$A$1:$A$1001,customers!$G$1:$G$1001,,0)</f>
        <v>United States</v>
      </c>
      <c r="J269" s="2" t="str">
        <f>_xlfn.XLOOKUP(Orders[[#This Row],[Customer ID]],customers!$A$1:$A$1001,customers!$F$1:$F$1001,,0)</f>
        <v>Sparks</v>
      </c>
      <c r="K269" t="str">
        <f>INDEX(products!$A$1:$G$49,MATCH(orders!$D269,products!$A$1:$A$49,0),MATCH(orders!K$1,products!$A$1:$G$1,0))</f>
        <v>Exc</v>
      </c>
      <c r="L269" t="str">
        <f>INDEX(products!$A$1:$G$49,MATCH(orders!$D269,products!$A$1:$A$49,0),MATCH(orders!L$1,products!$A$1:$G$1,0))</f>
        <v>D</v>
      </c>
      <c r="M269" s="14">
        <f>INDEX(products!$A$1:$G$49,MATCH(orders!$D269,products!$A$1:$A$49,0),MATCH(orders!M$1,products!$A$1:$G$1,0))</f>
        <v>0.2</v>
      </c>
      <c r="N269" s="4">
        <f>INDEX(products!$A$1:$G$49,MATCH(orders!$D269,products!$A$1:$A$49,0),MATCH(orders!N$1,products!$A$1:$G$1,0))</f>
        <v>3.645</v>
      </c>
      <c r="O269" s="13">
        <f t="shared" si="20"/>
        <v>21.87</v>
      </c>
      <c r="P269" s="13">
        <f>_xlfn.XLOOKUP(Orders[[#This Row],[Product ID]],products!$A$1:$A$49,products!$G$1:$G$49,,0)</f>
        <v>0.40095000000000003</v>
      </c>
      <c r="Q269" s="13">
        <f t="shared" si="21"/>
        <v>2.4057000000000004</v>
      </c>
      <c r="R269" t="str">
        <f t="shared" si="23"/>
        <v>Execelsa</v>
      </c>
      <c r="S269" t="str">
        <f t="shared" si="24"/>
        <v>Dark</v>
      </c>
      <c r="T269" t="str">
        <f>_xlfn.XLOOKUP(Orders[[#This Row],[Customer ID]],customers!$A$1:$A$1001,customers!$I$1:$I$1001,,0)</f>
        <v>Yes</v>
      </c>
    </row>
    <row r="270" spans="1:20" x14ac:dyDescent="0.35">
      <c r="A270" s="2" t="s">
        <v>2004</v>
      </c>
      <c r="B270" s="3">
        <v>43790</v>
      </c>
      <c r="C270" s="2" t="s">
        <v>1672</v>
      </c>
      <c r="D270" t="s">
        <v>6147</v>
      </c>
      <c r="E270" t="str">
        <f t="shared" si="22"/>
        <v>Arabica-Dark-1</v>
      </c>
      <c r="F270" s="2">
        <v>2</v>
      </c>
      <c r="G270" s="2" t="str" cm="1">
        <f t="array" ref="G270">_xlfn.XLOOKUP(C270, customers!$A$1:A1269,customers!$B$1:B1269,,0)</f>
        <v>Anselma Attwater</v>
      </c>
      <c r="H270" s="2" t="str" cm="1">
        <f t="array" ref="H270">IF(_xlfn.XLOOKUP(C270,customers!$A$1:A1269,customers!$C$1:C1269,,0) = 0,"", _xlfn.XLOOKUP(C270,customers!$A$1:A1269,customers!$C$1:C1269,,0))</f>
        <v>aattwater5u@wikia.com</v>
      </c>
      <c r="I270" s="2" t="str">
        <f>_xlfn.XLOOKUP(C270,customers!$A$1:$A$1001,customers!$G$1:$G$1001,,0)</f>
        <v>United States</v>
      </c>
      <c r="J270" s="2" t="str">
        <f>_xlfn.XLOOKUP(Orders[[#This Row],[Customer ID]],customers!$A$1:$A$1001,customers!$F$1:$F$1001,,0)</f>
        <v>Charlottesville</v>
      </c>
      <c r="K270" t="str">
        <f>INDEX(products!$A$1:$G$49,MATCH(orders!$D270,products!$A$1:$A$49,0),MATCH(orders!K$1,products!$A$1:$G$1,0))</f>
        <v>Ara</v>
      </c>
      <c r="L270" t="str">
        <f>INDEX(products!$A$1:$G$49,MATCH(orders!$D270,products!$A$1:$A$49,0),MATCH(orders!L$1,products!$A$1:$G$1,0))</f>
        <v>D</v>
      </c>
      <c r="M270" s="14">
        <f>INDEX(products!$A$1:$G$49,MATCH(orders!$D270,products!$A$1:$A$49,0),MATCH(orders!M$1,products!$A$1:$G$1,0))</f>
        <v>1</v>
      </c>
      <c r="N270" s="4">
        <f>INDEX(products!$A$1:$G$49,MATCH(orders!$D270,products!$A$1:$A$49,0),MATCH(orders!N$1,products!$A$1:$G$1,0))</f>
        <v>9.9499999999999993</v>
      </c>
      <c r="O270" s="13">
        <f t="shared" si="20"/>
        <v>19.899999999999999</v>
      </c>
      <c r="P270" s="13">
        <f>_xlfn.XLOOKUP(Orders[[#This Row],[Product ID]],products!$A$1:$A$49,products!$G$1:$G$49,,0)</f>
        <v>0.89549999999999985</v>
      </c>
      <c r="Q270" s="13">
        <f t="shared" si="21"/>
        <v>1.7909999999999997</v>
      </c>
      <c r="R270" t="str">
        <f t="shared" si="23"/>
        <v>Arabica</v>
      </c>
      <c r="S270" t="str">
        <f t="shared" si="24"/>
        <v>Dark</v>
      </c>
      <c r="T270" t="str">
        <f>_xlfn.XLOOKUP(Orders[[#This Row],[Customer ID]],customers!$A$1:$A$1001,customers!$I$1:$I$1001,,0)</f>
        <v>Yes</v>
      </c>
    </row>
    <row r="271" spans="1:20" x14ac:dyDescent="0.35">
      <c r="A271" s="2" t="s">
        <v>2009</v>
      </c>
      <c r="B271" s="3">
        <v>44333</v>
      </c>
      <c r="C271" s="2" t="s">
        <v>2010</v>
      </c>
      <c r="D271" t="s">
        <v>6154</v>
      </c>
      <c r="E271" t="str">
        <f t="shared" si="22"/>
        <v>Arabica-Dark-0.2</v>
      </c>
      <c r="F271" s="2">
        <v>2</v>
      </c>
      <c r="G271" s="2" t="str" cm="1">
        <f t="array" ref="G271">_xlfn.XLOOKUP(C271, customers!$A$1:A1270,customers!$B$1:B1270,,0)</f>
        <v>Monica Fearon</v>
      </c>
      <c r="H271" s="2" t="str" cm="1">
        <f t="array" ref="H271">IF(_xlfn.XLOOKUP(C271,customers!$A$1:A1270,customers!$C$1:C1270,,0) = 0,"", _xlfn.XLOOKUP(C271,customers!$A$1:A1270,customers!$C$1:C1270,,0))</f>
        <v>mfearon7h@reverbnation.com</v>
      </c>
      <c r="I271" s="2" t="str">
        <f>_xlfn.XLOOKUP(C271,customers!$A$1:$A$1001,customers!$G$1:$G$1001,,0)</f>
        <v>United States</v>
      </c>
      <c r="J271" s="2" t="str">
        <f>_xlfn.XLOOKUP(Orders[[#This Row],[Customer ID]],customers!$A$1:$A$1001,customers!$F$1:$F$1001,,0)</f>
        <v>Denton</v>
      </c>
      <c r="K271" t="str">
        <f>INDEX(products!$A$1:$G$49,MATCH(orders!$D271,products!$A$1:$A$49,0),MATCH(orders!K$1,products!$A$1:$G$1,0))</f>
        <v>Ara</v>
      </c>
      <c r="L271" t="str">
        <f>INDEX(products!$A$1:$G$49,MATCH(orders!$D271,products!$A$1:$A$49,0),MATCH(orders!L$1,products!$A$1:$G$1,0))</f>
        <v>D</v>
      </c>
      <c r="M271" s="14">
        <f>INDEX(products!$A$1:$G$49,MATCH(orders!$D271,products!$A$1:$A$49,0),MATCH(orders!M$1,products!$A$1:$G$1,0))</f>
        <v>0.2</v>
      </c>
      <c r="N271" s="4">
        <f>INDEX(products!$A$1:$G$49,MATCH(orders!$D271,products!$A$1:$A$49,0),MATCH(orders!N$1,products!$A$1:$G$1,0))</f>
        <v>2.9849999999999999</v>
      </c>
      <c r="O271" s="13">
        <f t="shared" si="20"/>
        <v>5.97</v>
      </c>
      <c r="P271" s="13">
        <f>_xlfn.XLOOKUP(Orders[[#This Row],[Product ID]],products!$A$1:$A$49,products!$G$1:$G$49,,0)</f>
        <v>0.26865</v>
      </c>
      <c r="Q271" s="13">
        <f t="shared" si="21"/>
        <v>0.5373</v>
      </c>
      <c r="R271" t="str">
        <f t="shared" si="23"/>
        <v>Arabica</v>
      </c>
      <c r="S271" t="str">
        <f t="shared" si="24"/>
        <v>Dark</v>
      </c>
      <c r="T271" t="str">
        <f>_xlfn.XLOOKUP(Orders[[#This Row],[Customer ID]],customers!$A$1:$A$1001,customers!$I$1:$I$1001,,0)</f>
        <v>No</v>
      </c>
    </row>
    <row r="272" spans="1:20" x14ac:dyDescent="0.35">
      <c r="A272" s="2" t="s">
        <v>2015</v>
      </c>
      <c r="B272" s="3">
        <v>43655</v>
      </c>
      <c r="C272" s="2" t="s">
        <v>2016</v>
      </c>
      <c r="D272" t="s">
        <v>6144</v>
      </c>
      <c r="E272" t="str">
        <f t="shared" si="22"/>
        <v>Excelsa-Dark-0.5</v>
      </c>
      <c r="F272" s="2">
        <v>1</v>
      </c>
      <c r="G272" s="2" t="str" cm="1">
        <f t="array" ref="G272">_xlfn.XLOOKUP(C272, customers!$A$1:A1271,customers!$B$1:B1271,,0)</f>
        <v>Barney Chisnell</v>
      </c>
      <c r="H272" s="2" t="str" cm="1">
        <f t="array" ref="H272">IF(_xlfn.XLOOKUP(C272,customers!$A$1:A1271,customers!$C$1:C1271,,0) = 0,"", _xlfn.XLOOKUP(C272,customers!$A$1:A1271,customers!$C$1:C1271,,0))</f>
        <v/>
      </c>
      <c r="I272" s="2" t="str">
        <f>_xlfn.XLOOKUP(C272,customers!$A$1:$A$1001,customers!$G$1:$G$1001,,0)</f>
        <v>Ireland</v>
      </c>
      <c r="J272" s="2" t="str">
        <f>_xlfn.XLOOKUP(Orders[[#This Row],[Customer ID]],customers!$A$1:$A$1001,customers!$F$1:$F$1001,,0)</f>
        <v>Tullamore</v>
      </c>
      <c r="K272" t="str">
        <f>INDEX(products!$A$1:$G$49,MATCH(orders!$D272,products!$A$1:$A$49,0),MATCH(orders!K$1,products!$A$1:$G$1,0))</f>
        <v>Exc</v>
      </c>
      <c r="L272" t="str">
        <f>INDEX(products!$A$1:$G$49,MATCH(orders!$D272,products!$A$1:$A$49,0),MATCH(orders!L$1,products!$A$1:$G$1,0))</f>
        <v>D</v>
      </c>
      <c r="M272" s="14">
        <f>INDEX(products!$A$1:$G$49,MATCH(orders!$D272,products!$A$1:$A$49,0),MATCH(orders!M$1,products!$A$1:$G$1,0))</f>
        <v>0.5</v>
      </c>
      <c r="N272" s="4">
        <f>INDEX(products!$A$1:$G$49,MATCH(orders!$D272,products!$A$1:$A$49,0),MATCH(orders!N$1,products!$A$1:$G$1,0))</f>
        <v>7.29</v>
      </c>
      <c r="O272" s="13">
        <f t="shared" si="20"/>
        <v>7.29</v>
      </c>
      <c r="P272" s="13">
        <f>_xlfn.XLOOKUP(Orders[[#This Row],[Product ID]],products!$A$1:$A$49,products!$G$1:$G$49,,0)</f>
        <v>0.80190000000000006</v>
      </c>
      <c r="Q272" s="13">
        <f t="shared" si="21"/>
        <v>0.80190000000000006</v>
      </c>
      <c r="R272" t="str">
        <f t="shared" si="23"/>
        <v>Execelsa</v>
      </c>
      <c r="S272" t="str">
        <f t="shared" si="24"/>
        <v>Dark</v>
      </c>
      <c r="T272" t="str">
        <f>_xlfn.XLOOKUP(Orders[[#This Row],[Customer ID]],customers!$A$1:$A$1001,customers!$I$1:$I$1001,,0)</f>
        <v>Yes</v>
      </c>
    </row>
    <row r="273" spans="1:20" x14ac:dyDescent="0.35">
      <c r="A273" s="2" t="s">
        <v>2019</v>
      </c>
      <c r="B273" s="3">
        <v>43971</v>
      </c>
      <c r="C273" s="2" t="s">
        <v>2020</v>
      </c>
      <c r="D273" t="s">
        <v>6154</v>
      </c>
      <c r="E273" t="str">
        <f t="shared" si="22"/>
        <v>Arabica-Dark-0.2</v>
      </c>
      <c r="F273" s="2">
        <v>4</v>
      </c>
      <c r="G273" s="2" t="str" cm="1">
        <f t="array" ref="G273">_xlfn.XLOOKUP(C273, customers!$A$1:A1272,customers!$B$1:B1272,,0)</f>
        <v>Jasper Sisneros</v>
      </c>
      <c r="H273" s="2" t="str" cm="1">
        <f t="array" ref="H273">IF(_xlfn.XLOOKUP(C273,customers!$A$1:A1272,customers!$C$1:C1272,,0) = 0,"", _xlfn.XLOOKUP(C273,customers!$A$1:A1272,customers!$C$1:C1272,,0))</f>
        <v>jsisneros7j@a8.net</v>
      </c>
      <c r="I273" s="2" t="str">
        <f>_xlfn.XLOOKUP(C273,customers!$A$1:$A$1001,customers!$G$1:$G$1001,,0)</f>
        <v>United States</v>
      </c>
      <c r="J273" s="2" t="str">
        <f>_xlfn.XLOOKUP(Orders[[#This Row],[Customer ID]],customers!$A$1:$A$1001,customers!$F$1:$F$1001,,0)</f>
        <v>Raleigh</v>
      </c>
      <c r="K273" t="str">
        <f>INDEX(products!$A$1:$G$49,MATCH(orders!$D273,products!$A$1:$A$49,0),MATCH(orders!K$1,products!$A$1:$G$1,0))</f>
        <v>Ara</v>
      </c>
      <c r="L273" t="str">
        <f>INDEX(products!$A$1:$G$49,MATCH(orders!$D273,products!$A$1:$A$49,0),MATCH(orders!L$1,products!$A$1:$G$1,0))</f>
        <v>D</v>
      </c>
      <c r="M273" s="14">
        <f>INDEX(products!$A$1:$G$49,MATCH(orders!$D273,products!$A$1:$A$49,0),MATCH(orders!M$1,products!$A$1:$G$1,0))</f>
        <v>0.2</v>
      </c>
      <c r="N273" s="4">
        <f>INDEX(products!$A$1:$G$49,MATCH(orders!$D273,products!$A$1:$A$49,0),MATCH(orders!N$1,products!$A$1:$G$1,0))</f>
        <v>2.9849999999999999</v>
      </c>
      <c r="O273" s="13">
        <f t="shared" si="20"/>
        <v>11.94</v>
      </c>
      <c r="P273" s="13">
        <f>_xlfn.XLOOKUP(Orders[[#This Row],[Product ID]],products!$A$1:$A$49,products!$G$1:$G$49,,0)</f>
        <v>0.26865</v>
      </c>
      <c r="Q273" s="13">
        <f t="shared" si="21"/>
        <v>1.0746</v>
      </c>
      <c r="R273" t="str">
        <f t="shared" si="23"/>
        <v>Arabica</v>
      </c>
      <c r="S273" t="str">
        <f t="shared" si="24"/>
        <v>Dark</v>
      </c>
      <c r="T273" t="str">
        <f>_xlfn.XLOOKUP(Orders[[#This Row],[Customer ID]],customers!$A$1:$A$1001,customers!$I$1:$I$1001,,0)</f>
        <v>Yes</v>
      </c>
    </row>
    <row r="274" spans="1:20" x14ac:dyDescent="0.35">
      <c r="A274" s="2" t="s">
        <v>2025</v>
      </c>
      <c r="B274" s="3">
        <v>44435</v>
      </c>
      <c r="C274" s="2" t="s">
        <v>2026</v>
      </c>
      <c r="D274" t="s">
        <v>6179</v>
      </c>
      <c r="E274" t="str">
        <f t="shared" si="22"/>
        <v>Robusta-Light-1</v>
      </c>
      <c r="F274" s="2">
        <v>6</v>
      </c>
      <c r="G274" s="2" t="str" cm="1">
        <f t="array" ref="G274">_xlfn.XLOOKUP(C274, customers!$A$1:A1273,customers!$B$1:B1273,,0)</f>
        <v>Zachariah Carlson</v>
      </c>
      <c r="H274" s="2" t="str" cm="1">
        <f t="array" ref="H274">IF(_xlfn.XLOOKUP(C274,customers!$A$1:A1273,customers!$C$1:C1273,,0) = 0,"", _xlfn.XLOOKUP(C274,customers!$A$1:A1273,customers!$C$1:C1273,,0))</f>
        <v>zcarlson7k@bigcartel.com</v>
      </c>
      <c r="I274" s="2" t="str">
        <f>_xlfn.XLOOKUP(C274,customers!$A$1:$A$1001,customers!$G$1:$G$1001,,0)</f>
        <v>Ireland</v>
      </c>
      <c r="J274" s="2" t="str">
        <f>_xlfn.XLOOKUP(Orders[[#This Row],[Customer ID]],customers!$A$1:$A$1001,customers!$F$1:$F$1001,,0)</f>
        <v>Shankill</v>
      </c>
      <c r="K274" t="str">
        <f>INDEX(products!$A$1:$G$49,MATCH(orders!$D274,products!$A$1:$A$49,0),MATCH(orders!K$1,products!$A$1:$G$1,0))</f>
        <v>Rob</v>
      </c>
      <c r="L274" t="str">
        <f>INDEX(products!$A$1:$G$49,MATCH(orders!$D274,products!$A$1:$A$49,0),MATCH(orders!L$1,products!$A$1:$G$1,0))</f>
        <v>L</v>
      </c>
      <c r="M274" s="14">
        <f>INDEX(products!$A$1:$G$49,MATCH(orders!$D274,products!$A$1:$A$49,0),MATCH(orders!M$1,products!$A$1:$G$1,0))</f>
        <v>1</v>
      </c>
      <c r="N274" s="4">
        <f>INDEX(products!$A$1:$G$49,MATCH(orders!$D274,products!$A$1:$A$49,0),MATCH(orders!N$1,products!$A$1:$G$1,0))</f>
        <v>11.95</v>
      </c>
      <c r="O274" s="13">
        <f t="shared" si="20"/>
        <v>71.699999999999989</v>
      </c>
      <c r="P274" s="13">
        <f>_xlfn.XLOOKUP(Orders[[#This Row],[Product ID]],products!$A$1:$A$49,products!$G$1:$G$49,,0)</f>
        <v>0.71699999999999997</v>
      </c>
      <c r="Q274" s="13">
        <f t="shared" si="21"/>
        <v>4.3019999999999996</v>
      </c>
      <c r="R274" t="str">
        <f t="shared" si="23"/>
        <v>Robusta</v>
      </c>
      <c r="S274" t="str">
        <f t="shared" si="24"/>
        <v>Light</v>
      </c>
      <c r="T274" t="str">
        <f>_xlfn.XLOOKUP(Orders[[#This Row],[Customer ID]],customers!$A$1:$A$1001,customers!$I$1:$I$1001,,0)</f>
        <v>Yes</v>
      </c>
    </row>
    <row r="275" spans="1:20" x14ac:dyDescent="0.35">
      <c r="A275" s="2" t="s">
        <v>2032</v>
      </c>
      <c r="B275" s="3">
        <v>44681</v>
      </c>
      <c r="C275" s="2" t="s">
        <v>2033</v>
      </c>
      <c r="D275" t="s">
        <v>6167</v>
      </c>
      <c r="E275" t="str">
        <f t="shared" si="22"/>
        <v>Arabica-Light-0.2</v>
      </c>
      <c r="F275" s="2">
        <v>2</v>
      </c>
      <c r="G275" s="2" t="str" cm="1">
        <f t="array" ref="G275">_xlfn.XLOOKUP(C275, customers!$A$1:A1274,customers!$B$1:B1274,,0)</f>
        <v>Warner Maddox</v>
      </c>
      <c r="H275" s="2" t="str" cm="1">
        <f t="array" ref="H275">IF(_xlfn.XLOOKUP(C275,customers!$A$1:A1274,customers!$C$1:C1274,,0) = 0,"", _xlfn.XLOOKUP(C275,customers!$A$1:A1274,customers!$C$1:C1274,,0))</f>
        <v>wmaddox7l@timesonline.co.uk</v>
      </c>
      <c r="I275" s="2" t="str">
        <f>_xlfn.XLOOKUP(C275,customers!$A$1:$A$1001,customers!$G$1:$G$1001,,0)</f>
        <v>United States</v>
      </c>
      <c r="J275" s="2" t="str">
        <f>_xlfn.XLOOKUP(Orders[[#This Row],[Customer ID]],customers!$A$1:$A$1001,customers!$F$1:$F$1001,,0)</f>
        <v>New York City</v>
      </c>
      <c r="K275" t="str">
        <f>INDEX(products!$A$1:$G$49,MATCH(orders!$D275,products!$A$1:$A$49,0),MATCH(orders!K$1,products!$A$1:$G$1,0))</f>
        <v>Ara</v>
      </c>
      <c r="L275" t="str">
        <f>INDEX(products!$A$1:$G$49,MATCH(orders!$D275,products!$A$1:$A$49,0),MATCH(orders!L$1,products!$A$1:$G$1,0))</f>
        <v>L</v>
      </c>
      <c r="M275" s="14">
        <f>INDEX(products!$A$1:$G$49,MATCH(orders!$D275,products!$A$1:$A$49,0),MATCH(orders!M$1,products!$A$1:$G$1,0))</f>
        <v>0.2</v>
      </c>
      <c r="N275" s="4">
        <f>INDEX(products!$A$1:$G$49,MATCH(orders!$D275,products!$A$1:$A$49,0),MATCH(orders!N$1,products!$A$1:$G$1,0))</f>
        <v>3.8849999999999998</v>
      </c>
      <c r="O275" s="13">
        <f t="shared" si="20"/>
        <v>7.77</v>
      </c>
      <c r="P275" s="13">
        <f>_xlfn.XLOOKUP(Orders[[#This Row],[Product ID]],products!$A$1:$A$49,products!$G$1:$G$49,,0)</f>
        <v>0.34964999999999996</v>
      </c>
      <c r="Q275" s="13">
        <f t="shared" si="21"/>
        <v>0.69929999999999992</v>
      </c>
      <c r="R275" t="str">
        <f t="shared" si="23"/>
        <v>Arabica</v>
      </c>
      <c r="S275" t="str">
        <f t="shared" si="24"/>
        <v>Light</v>
      </c>
      <c r="T275" t="str">
        <f>_xlfn.XLOOKUP(Orders[[#This Row],[Customer ID]],customers!$A$1:$A$1001,customers!$I$1:$I$1001,,0)</f>
        <v>No</v>
      </c>
    </row>
    <row r="276" spans="1:20" x14ac:dyDescent="0.35">
      <c r="A276" s="2" t="s">
        <v>2038</v>
      </c>
      <c r="B276" s="3">
        <v>43985</v>
      </c>
      <c r="C276" s="2" t="s">
        <v>2039</v>
      </c>
      <c r="D276" t="s">
        <v>6175</v>
      </c>
      <c r="E276" t="str">
        <f t="shared" si="22"/>
        <v>Arabica-Medium-2.5</v>
      </c>
      <c r="F276" s="2">
        <v>1</v>
      </c>
      <c r="G276" s="2" t="str" cm="1">
        <f t="array" ref="G276">_xlfn.XLOOKUP(C276, customers!$A$1:A1275,customers!$B$1:B1275,,0)</f>
        <v>Donnie Hedlestone</v>
      </c>
      <c r="H276" s="2" t="str" cm="1">
        <f t="array" ref="H276">IF(_xlfn.XLOOKUP(C276,customers!$A$1:A1275,customers!$C$1:C1275,,0) = 0,"", _xlfn.XLOOKUP(C276,customers!$A$1:A1275,customers!$C$1:C1275,,0))</f>
        <v>dhedlestone7m@craigslist.org</v>
      </c>
      <c r="I276" s="2" t="str">
        <f>_xlfn.XLOOKUP(C276,customers!$A$1:$A$1001,customers!$G$1:$G$1001,,0)</f>
        <v>United States</v>
      </c>
      <c r="J276" s="2" t="str">
        <f>_xlfn.XLOOKUP(Orders[[#This Row],[Customer ID]],customers!$A$1:$A$1001,customers!$F$1:$F$1001,,0)</f>
        <v>Stamford</v>
      </c>
      <c r="K276" t="str">
        <f>INDEX(products!$A$1:$G$49,MATCH(orders!$D276,products!$A$1:$A$49,0),MATCH(orders!K$1,products!$A$1:$G$1,0))</f>
        <v>Ara</v>
      </c>
      <c r="L276" t="str">
        <f>INDEX(products!$A$1:$G$49,MATCH(orders!$D276,products!$A$1:$A$49,0),MATCH(orders!L$1,products!$A$1:$G$1,0))</f>
        <v>M</v>
      </c>
      <c r="M276" s="14">
        <f>INDEX(products!$A$1:$G$49,MATCH(orders!$D276,products!$A$1:$A$49,0),MATCH(orders!M$1,products!$A$1:$G$1,0))</f>
        <v>2.5</v>
      </c>
      <c r="N276" s="4">
        <f>INDEX(products!$A$1:$G$49,MATCH(orders!$D276,products!$A$1:$A$49,0),MATCH(orders!N$1,products!$A$1:$G$1,0))</f>
        <v>25.874999999999996</v>
      </c>
      <c r="O276" s="13">
        <f t="shared" si="20"/>
        <v>25.874999999999996</v>
      </c>
      <c r="P276" s="13">
        <f>_xlfn.XLOOKUP(Orders[[#This Row],[Product ID]],products!$A$1:$A$49,products!$G$1:$G$49,,0)</f>
        <v>2.3287499999999994</v>
      </c>
      <c r="Q276" s="13">
        <f t="shared" si="21"/>
        <v>2.3287499999999994</v>
      </c>
      <c r="R276" t="str">
        <f t="shared" si="23"/>
        <v>Arabica</v>
      </c>
      <c r="S276" t="str">
        <f t="shared" si="24"/>
        <v>Medium</v>
      </c>
      <c r="T276" t="str">
        <f>_xlfn.XLOOKUP(Orders[[#This Row],[Customer ID]],customers!$A$1:$A$1001,customers!$I$1:$I$1001,,0)</f>
        <v>No</v>
      </c>
    </row>
    <row r="277" spans="1:20" x14ac:dyDescent="0.35">
      <c r="A277" s="2" t="s">
        <v>2044</v>
      </c>
      <c r="B277" s="3">
        <v>44725</v>
      </c>
      <c r="C277" s="2" t="s">
        <v>2045</v>
      </c>
      <c r="D277" t="s">
        <v>6148</v>
      </c>
      <c r="E277" t="str">
        <f t="shared" si="22"/>
        <v>Excelsa-Light-2.5</v>
      </c>
      <c r="F277" s="2">
        <v>6</v>
      </c>
      <c r="G277" s="2" t="str" cm="1">
        <f t="array" ref="G277">_xlfn.XLOOKUP(C277, customers!$A$1:A1276,customers!$B$1:B1276,,0)</f>
        <v>Teddi Crowthe</v>
      </c>
      <c r="H277" s="2" t="str" cm="1">
        <f t="array" ref="H277">IF(_xlfn.XLOOKUP(C277,customers!$A$1:A1276,customers!$C$1:C1276,,0) = 0,"", _xlfn.XLOOKUP(C277,customers!$A$1:A1276,customers!$C$1:C1276,,0))</f>
        <v>tcrowthe7n@europa.eu</v>
      </c>
      <c r="I277" s="2" t="str">
        <f>_xlfn.XLOOKUP(C277,customers!$A$1:$A$1001,customers!$G$1:$G$1001,,0)</f>
        <v>United States</v>
      </c>
      <c r="J277" s="2" t="str">
        <f>_xlfn.XLOOKUP(Orders[[#This Row],[Customer ID]],customers!$A$1:$A$1001,customers!$F$1:$F$1001,,0)</f>
        <v>Toledo</v>
      </c>
      <c r="K277" t="str">
        <f>INDEX(products!$A$1:$G$49,MATCH(orders!$D277,products!$A$1:$A$49,0),MATCH(orders!K$1,products!$A$1:$G$1,0))</f>
        <v>Exc</v>
      </c>
      <c r="L277" t="str">
        <f>INDEX(products!$A$1:$G$49,MATCH(orders!$D277,products!$A$1:$A$49,0),MATCH(orders!L$1,products!$A$1:$G$1,0))</f>
        <v>L</v>
      </c>
      <c r="M277" s="14">
        <f>INDEX(products!$A$1:$G$49,MATCH(orders!$D277,products!$A$1:$A$49,0),MATCH(orders!M$1,products!$A$1:$G$1,0))</f>
        <v>2.5</v>
      </c>
      <c r="N277" s="4">
        <f>INDEX(products!$A$1:$G$49,MATCH(orders!$D277,products!$A$1:$A$49,0),MATCH(orders!N$1,products!$A$1:$G$1,0))</f>
        <v>34.154999999999994</v>
      </c>
      <c r="O277" s="13">
        <f t="shared" si="20"/>
        <v>204.92999999999995</v>
      </c>
      <c r="P277" s="13">
        <f>_xlfn.XLOOKUP(Orders[[#This Row],[Product ID]],products!$A$1:$A$49,products!$G$1:$G$49,,0)</f>
        <v>3.7570499999999996</v>
      </c>
      <c r="Q277" s="13">
        <f t="shared" si="21"/>
        <v>22.542299999999997</v>
      </c>
      <c r="R277" t="str">
        <f t="shared" si="23"/>
        <v>Execelsa</v>
      </c>
      <c r="S277" t="str">
        <f t="shared" si="24"/>
        <v>Light</v>
      </c>
      <c r="T277" t="str">
        <f>_xlfn.XLOOKUP(Orders[[#This Row],[Customer ID]],customers!$A$1:$A$1001,customers!$I$1:$I$1001,,0)</f>
        <v>No</v>
      </c>
    </row>
    <row r="278" spans="1:20" x14ac:dyDescent="0.35">
      <c r="A278" s="2" t="s">
        <v>2050</v>
      </c>
      <c r="B278" s="3">
        <v>43992</v>
      </c>
      <c r="C278" s="2" t="s">
        <v>2051</v>
      </c>
      <c r="D278" t="s">
        <v>6142</v>
      </c>
      <c r="E278" t="str">
        <f t="shared" si="22"/>
        <v>Robusta-Light-2.5</v>
      </c>
      <c r="F278" s="2">
        <v>4</v>
      </c>
      <c r="G278" s="2" t="str" cm="1">
        <f t="array" ref="G278">_xlfn.XLOOKUP(C278, customers!$A$1:A1277,customers!$B$1:B1277,,0)</f>
        <v>Dorelia Bury</v>
      </c>
      <c r="H278" s="2" t="str" cm="1">
        <f t="array" ref="H278">IF(_xlfn.XLOOKUP(C278,customers!$A$1:A1277,customers!$C$1:C1277,,0) = 0,"", _xlfn.XLOOKUP(C278,customers!$A$1:A1277,customers!$C$1:C1277,,0))</f>
        <v>dbury7o@tinyurl.com</v>
      </c>
      <c r="I278" s="2" t="str">
        <f>_xlfn.XLOOKUP(C278,customers!$A$1:$A$1001,customers!$G$1:$G$1001,,0)</f>
        <v>Ireland</v>
      </c>
      <c r="J278" s="2" t="str">
        <f>_xlfn.XLOOKUP(Orders[[#This Row],[Customer ID]],customers!$A$1:$A$1001,customers!$F$1:$F$1001,,0)</f>
        <v>Castleblayney</v>
      </c>
      <c r="K278" t="str">
        <f>INDEX(products!$A$1:$G$49,MATCH(orders!$D278,products!$A$1:$A$49,0),MATCH(orders!K$1,products!$A$1:$G$1,0))</f>
        <v>Rob</v>
      </c>
      <c r="L278" t="str">
        <f>INDEX(products!$A$1:$G$49,MATCH(orders!$D278,products!$A$1:$A$49,0),MATCH(orders!L$1,products!$A$1:$G$1,0))</f>
        <v>L</v>
      </c>
      <c r="M278" s="14">
        <f>INDEX(products!$A$1:$G$49,MATCH(orders!$D278,products!$A$1:$A$49,0),MATCH(orders!M$1,products!$A$1:$G$1,0))</f>
        <v>2.5</v>
      </c>
      <c r="N278" s="4">
        <f>INDEX(products!$A$1:$G$49,MATCH(orders!$D278,products!$A$1:$A$49,0),MATCH(orders!N$1,products!$A$1:$G$1,0))</f>
        <v>27.484999999999996</v>
      </c>
      <c r="O278" s="13">
        <f t="shared" si="20"/>
        <v>109.93999999999998</v>
      </c>
      <c r="P278" s="13">
        <f>_xlfn.XLOOKUP(Orders[[#This Row],[Product ID]],products!$A$1:$A$49,products!$G$1:$G$49,,0)</f>
        <v>1.6490999999999998</v>
      </c>
      <c r="Q278" s="13">
        <f t="shared" si="21"/>
        <v>6.5963999999999992</v>
      </c>
      <c r="R278" t="str">
        <f t="shared" si="23"/>
        <v>Robusta</v>
      </c>
      <c r="S278" t="str">
        <f t="shared" si="24"/>
        <v>Light</v>
      </c>
      <c r="T278" t="str">
        <f>_xlfn.XLOOKUP(Orders[[#This Row],[Customer ID]],customers!$A$1:$A$1001,customers!$I$1:$I$1001,,0)</f>
        <v>Yes</v>
      </c>
    </row>
    <row r="279" spans="1:20" x14ac:dyDescent="0.35">
      <c r="A279" s="2" t="s">
        <v>2056</v>
      </c>
      <c r="B279" s="3">
        <v>44183</v>
      </c>
      <c r="C279" s="2" t="s">
        <v>2057</v>
      </c>
      <c r="D279" t="s">
        <v>6171</v>
      </c>
      <c r="E279" t="str">
        <f t="shared" si="22"/>
        <v>Excelsa-Light-1</v>
      </c>
      <c r="F279" s="2">
        <v>6</v>
      </c>
      <c r="G279" s="2" t="str" cm="1">
        <f t="array" ref="G279">_xlfn.XLOOKUP(C279, customers!$A$1:A1278,customers!$B$1:B1278,,0)</f>
        <v>Gussy Broadbear</v>
      </c>
      <c r="H279" s="2" t="str" cm="1">
        <f t="array" ref="H279">IF(_xlfn.XLOOKUP(C279,customers!$A$1:A1278,customers!$C$1:C1278,,0) = 0,"", _xlfn.XLOOKUP(C279,customers!$A$1:A1278,customers!$C$1:C1278,,0))</f>
        <v>gbroadbear7p@omniture.com</v>
      </c>
      <c r="I279" s="2" t="str">
        <f>_xlfn.XLOOKUP(C279,customers!$A$1:$A$1001,customers!$G$1:$G$1001,,0)</f>
        <v>United States</v>
      </c>
      <c r="J279" s="2" t="str">
        <f>_xlfn.XLOOKUP(Orders[[#This Row],[Customer ID]],customers!$A$1:$A$1001,customers!$F$1:$F$1001,,0)</f>
        <v>Columbia</v>
      </c>
      <c r="K279" t="str">
        <f>INDEX(products!$A$1:$G$49,MATCH(orders!$D279,products!$A$1:$A$49,0),MATCH(orders!K$1,products!$A$1:$G$1,0))</f>
        <v>Exc</v>
      </c>
      <c r="L279" t="str">
        <f>INDEX(products!$A$1:$G$49,MATCH(orders!$D279,products!$A$1:$A$49,0),MATCH(orders!L$1,products!$A$1:$G$1,0))</f>
        <v>L</v>
      </c>
      <c r="M279" s="14">
        <f>INDEX(products!$A$1:$G$49,MATCH(orders!$D279,products!$A$1:$A$49,0),MATCH(orders!M$1,products!$A$1:$G$1,0))</f>
        <v>1</v>
      </c>
      <c r="N279" s="4">
        <f>INDEX(products!$A$1:$G$49,MATCH(orders!$D279,products!$A$1:$A$49,0),MATCH(orders!N$1,products!$A$1:$G$1,0))</f>
        <v>14.85</v>
      </c>
      <c r="O279" s="13">
        <f t="shared" si="20"/>
        <v>89.1</v>
      </c>
      <c r="P279" s="13">
        <f>_xlfn.XLOOKUP(Orders[[#This Row],[Product ID]],products!$A$1:$A$49,products!$G$1:$G$49,,0)</f>
        <v>1.6335</v>
      </c>
      <c r="Q279" s="13">
        <f t="shared" si="21"/>
        <v>9.8010000000000002</v>
      </c>
      <c r="R279" t="str">
        <f t="shared" si="23"/>
        <v>Execelsa</v>
      </c>
      <c r="S279" t="str">
        <f t="shared" si="24"/>
        <v>Light</v>
      </c>
      <c r="T279" t="str">
        <f>_xlfn.XLOOKUP(Orders[[#This Row],[Customer ID]],customers!$A$1:$A$1001,customers!$I$1:$I$1001,,0)</f>
        <v>No</v>
      </c>
    </row>
    <row r="280" spans="1:20" x14ac:dyDescent="0.35">
      <c r="A280" s="2" t="s">
        <v>2062</v>
      </c>
      <c r="B280" s="3">
        <v>43708</v>
      </c>
      <c r="C280" s="2" t="s">
        <v>2063</v>
      </c>
      <c r="D280" t="s">
        <v>6167</v>
      </c>
      <c r="E280" t="str">
        <f t="shared" si="22"/>
        <v>Arabica-Light-0.2</v>
      </c>
      <c r="F280" s="2">
        <v>2</v>
      </c>
      <c r="G280" s="2" t="str" cm="1">
        <f t="array" ref="G280">_xlfn.XLOOKUP(C280, customers!$A$1:A1279,customers!$B$1:B1279,,0)</f>
        <v>Emlynne Palfrey</v>
      </c>
      <c r="H280" s="2" t="str" cm="1">
        <f t="array" ref="H280">IF(_xlfn.XLOOKUP(C280,customers!$A$1:A1279,customers!$C$1:C1279,,0) = 0,"", _xlfn.XLOOKUP(C280,customers!$A$1:A1279,customers!$C$1:C1279,,0))</f>
        <v>epalfrey7q@devhub.com</v>
      </c>
      <c r="I280" s="2" t="str">
        <f>_xlfn.XLOOKUP(C280,customers!$A$1:$A$1001,customers!$G$1:$G$1001,,0)</f>
        <v>United States</v>
      </c>
      <c r="J280" s="2" t="str">
        <f>_xlfn.XLOOKUP(Orders[[#This Row],[Customer ID]],customers!$A$1:$A$1001,customers!$F$1:$F$1001,,0)</f>
        <v>Fort Wayne</v>
      </c>
      <c r="K280" t="str">
        <f>INDEX(products!$A$1:$G$49,MATCH(orders!$D280,products!$A$1:$A$49,0),MATCH(orders!K$1,products!$A$1:$G$1,0))</f>
        <v>Ara</v>
      </c>
      <c r="L280" t="str">
        <f>INDEX(products!$A$1:$G$49,MATCH(orders!$D280,products!$A$1:$A$49,0),MATCH(orders!L$1,products!$A$1:$G$1,0))</f>
        <v>L</v>
      </c>
      <c r="M280" s="14">
        <f>INDEX(products!$A$1:$G$49,MATCH(orders!$D280,products!$A$1:$A$49,0),MATCH(orders!M$1,products!$A$1:$G$1,0))</f>
        <v>0.2</v>
      </c>
      <c r="N280" s="4">
        <f>INDEX(products!$A$1:$G$49,MATCH(orders!$D280,products!$A$1:$A$49,0),MATCH(orders!N$1,products!$A$1:$G$1,0))</f>
        <v>3.8849999999999998</v>
      </c>
      <c r="O280" s="13">
        <f t="shared" si="20"/>
        <v>7.77</v>
      </c>
      <c r="P280" s="13">
        <f>_xlfn.XLOOKUP(Orders[[#This Row],[Product ID]],products!$A$1:$A$49,products!$G$1:$G$49,,0)</f>
        <v>0.34964999999999996</v>
      </c>
      <c r="Q280" s="13">
        <f t="shared" si="21"/>
        <v>0.69929999999999992</v>
      </c>
      <c r="R280" t="str">
        <f t="shared" si="23"/>
        <v>Arabica</v>
      </c>
      <c r="S280" t="str">
        <f t="shared" si="24"/>
        <v>Light</v>
      </c>
      <c r="T280" t="str">
        <f>_xlfn.XLOOKUP(Orders[[#This Row],[Customer ID]],customers!$A$1:$A$1001,customers!$I$1:$I$1001,,0)</f>
        <v>Yes</v>
      </c>
    </row>
    <row r="281" spans="1:20" x14ac:dyDescent="0.35">
      <c r="A281" s="2" t="s">
        <v>2068</v>
      </c>
      <c r="B281" s="3">
        <v>43521</v>
      </c>
      <c r="C281" s="2" t="s">
        <v>2069</v>
      </c>
      <c r="D281" t="s">
        <v>6181</v>
      </c>
      <c r="E281" t="str">
        <f t="shared" si="22"/>
        <v>Liberica-Medium-2.5</v>
      </c>
      <c r="F281" s="2">
        <v>1</v>
      </c>
      <c r="G281" s="2" t="str" cm="1">
        <f t="array" ref="G281">_xlfn.XLOOKUP(C281, customers!$A$1:A1280,customers!$B$1:B1280,,0)</f>
        <v>Parsifal Metrick</v>
      </c>
      <c r="H281" s="2" t="str" cm="1">
        <f t="array" ref="H281">IF(_xlfn.XLOOKUP(C281,customers!$A$1:A1280,customers!$C$1:C1280,,0) = 0,"", _xlfn.XLOOKUP(C281,customers!$A$1:A1280,customers!$C$1:C1280,,0))</f>
        <v>pmetrick7r@rakuten.co.jp</v>
      </c>
      <c r="I281" s="2" t="str">
        <f>_xlfn.XLOOKUP(C281,customers!$A$1:$A$1001,customers!$G$1:$G$1001,,0)</f>
        <v>United States</v>
      </c>
      <c r="J281" s="2" t="str">
        <f>_xlfn.XLOOKUP(Orders[[#This Row],[Customer ID]],customers!$A$1:$A$1001,customers!$F$1:$F$1001,,0)</f>
        <v>Saint Louis</v>
      </c>
      <c r="K281" t="str">
        <f>INDEX(products!$A$1:$G$49,MATCH(orders!$D281,products!$A$1:$A$49,0),MATCH(orders!K$1,products!$A$1:$G$1,0))</f>
        <v>Lib</v>
      </c>
      <c r="L281" t="str">
        <f>INDEX(products!$A$1:$G$49,MATCH(orders!$D281,products!$A$1:$A$49,0),MATCH(orders!L$1,products!$A$1:$G$1,0))</f>
        <v>M</v>
      </c>
      <c r="M281" s="14">
        <f>INDEX(products!$A$1:$G$49,MATCH(orders!$D281,products!$A$1:$A$49,0),MATCH(orders!M$1,products!$A$1:$G$1,0))</f>
        <v>2.5</v>
      </c>
      <c r="N281" s="4">
        <f>INDEX(products!$A$1:$G$49,MATCH(orders!$D281,products!$A$1:$A$49,0),MATCH(orders!N$1,products!$A$1:$G$1,0))</f>
        <v>33.464999999999996</v>
      </c>
      <c r="O281" s="13">
        <f t="shared" si="20"/>
        <v>33.464999999999996</v>
      </c>
      <c r="P281" s="13">
        <f>_xlfn.XLOOKUP(Orders[[#This Row],[Product ID]],products!$A$1:$A$49,products!$G$1:$G$49,,0)</f>
        <v>4.3504499999999995</v>
      </c>
      <c r="Q281" s="13">
        <f t="shared" si="21"/>
        <v>4.3504499999999995</v>
      </c>
      <c r="R281" t="str">
        <f t="shared" si="23"/>
        <v>Liberica</v>
      </c>
      <c r="S281" t="str">
        <f t="shared" si="24"/>
        <v>Medium</v>
      </c>
      <c r="T281" t="str">
        <f>_xlfn.XLOOKUP(Orders[[#This Row],[Customer ID]],customers!$A$1:$A$1001,customers!$I$1:$I$1001,,0)</f>
        <v>Yes</v>
      </c>
    </row>
    <row r="282" spans="1:20" x14ac:dyDescent="0.35">
      <c r="A282" s="2" t="s">
        <v>2074</v>
      </c>
      <c r="B282" s="3">
        <v>44234</v>
      </c>
      <c r="C282" s="2" t="s">
        <v>2075</v>
      </c>
      <c r="D282" t="s">
        <v>6139</v>
      </c>
      <c r="E282" t="str">
        <f t="shared" si="22"/>
        <v>Excelsa-Medium-0.5</v>
      </c>
      <c r="F282" s="2">
        <v>5</v>
      </c>
      <c r="G282" s="2" t="str" cm="1">
        <f t="array" ref="G282">_xlfn.XLOOKUP(C282, customers!$A$1:A1281,customers!$B$1:B1281,,0)</f>
        <v>Christopher Grieveson</v>
      </c>
      <c r="H282" s="2" t="str" cm="1">
        <f t="array" ref="H282">IF(_xlfn.XLOOKUP(C282,customers!$A$1:A1281,customers!$C$1:C1281,,0) = 0,"", _xlfn.XLOOKUP(C282,customers!$A$1:A1281,customers!$C$1:C1281,,0))</f>
        <v/>
      </c>
      <c r="I282" s="2" t="str">
        <f>_xlfn.XLOOKUP(C282,customers!$A$1:$A$1001,customers!$G$1:$G$1001,,0)</f>
        <v>United States</v>
      </c>
      <c r="J282" s="2" t="str">
        <f>_xlfn.XLOOKUP(Orders[[#This Row],[Customer ID]],customers!$A$1:$A$1001,customers!$F$1:$F$1001,,0)</f>
        <v>Portland</v>
      </c>
      <c r="K282" t="str">
        <f>INDEX(products!$A$1:$G$49,MATCH(orders!$D282,products!$A$1:$A$49,0),MATCH(orders!K$1,products!$A$1:$G$1,0))</f>
        <v>Exc</v>
      </c>
      <c r="L282" t="str">
        <f>INDEX(products!$A$1:$G$49,MATCH(orders!$D282,products!$A$1:$A$49,0),MATCH(orders!L$1,products!$A$1:$G$1,0))</f>
        <v>M</v>
      </c>
      <c r="M282" s="14">
        <f>INDEX(products!$A$1:$G$49,MATCH(orders!$D282,products!$A$1:$A$49,0),MATCH(orders!M$1,products!$A$1:$G$1,0))</f>
        <v>0.5</v>
      </c>
      <c r="N282" s="4">
        <f>INDEX(products!$A$1:$G$49,MATCH(orders!$D282,products!$A$1:$A$49,0),MATCH(orders!N$1,products!$A$1:$G$1,0))</f>
        <v>8.25</v>
      </c>
      <c r="O282" s="13">
        <f t="shared" si="20"/>
        <v>41.25</v>
      </c>
      <c r="P282" s="13">
        <f>_xlfn.XLOOKUP(Orders[[#This Row],[Product ID]],products!$A$1:$A$49,products!$G$1:$G$49,,0)</f>
        <v>0.90749999999999997</v>
      </c>
      <c r="Q282" s="13">
        <f t="shared" si="21"/>
        <v>4.5374999999999996</v>
      </c>
      <c r="R282" t="str">
        <f t="shared" si="23"/>
        <v>Execelsa</v>
      </c>
      <c r="S282" t="str">
        <f t="shared" si="24"/>
        <v>Medium</v>
      </c>
      <c r="T282" t="str">
        <f>_xlfn.XLOOKUP(Orders[[#This Row],[Customer ID]],customers!$A$1:$A$1001,customers!$I$1:$I$1001,,0)</f>
        <v>Yes</v>
      </c>
    </row>
    <row r="283" spans="1:20" x14ac:dyDescent="0.35">
      <c r="A283" s="2" t="s">
        <v>2079</v>
      </c>
      <c r="B283" s="3">
        <v>44210</v>
      </c>
      <c r="C283" s="2" t="s">
        <v>2080</v>
      </c>
      <c r="D283" t="s">
        <v>6171</v>
      </c>
      <c r="E283" t="str">
        <f t="shared" si="22"/>
        <v>Excelsa-Light-1</v>
      </c>
      <c r="F283" s="2">
        <v>4</v>
      </c>
      <c r="G283" s="2" t="str" cm="1">
        <f t="array" ref="G283">_xlfn.XLOOKUP(C283, customers!$A$1:A1282,customers!$B$1:B1282,,0)</f>
        <v>Karlan Karby</v>
      </c>
      <c r="H283" s="2" t="str" cm="1">
        <f t="array" ref="H283">IF(_xlfn.XLOOKUP(C283,customers!$A$1:A1282,customers!$C$1:C1282,,0) = 0,"", _xlfn.XLOOKUP(C283,customers!$A$1:A1282,customers!$C$1:C1282,,0))</f>
        <v>kkarby7t@sbwire.com</v>
      </c>
      <c r="I283" s="2" t="str">
        <f>_xlfn.XLOOKUP(C283,customers!$A$1:$A$1001,customers!$G$1:$G$1001,,0)</f>
        <v>United States</v>
      </c>
      <c r="J283" s="2" t="str">
        <f>_xlfn.XLOOKUP(Orders[[#This Row],[Customer ID]],customers!$A$1:$A$1001,customers!$F$1:$F$1001,,0)</f>
        <v>Boulder</v>
      </c>
      <c r="K283" t="str">
        <f>INDEX(products!$A$1:$G$49,MATCH(orders!$D283,products!$A$1:$A$49,0),MATCH(orders!K$1,products!$A$1:$G$1,0))</f>
        <v>Exc</v>
      </c>
      <c r="L283" t="str">
        <f>INDEX(products!$A$1:$G$49,MATCH(orders!$D283,products!$A$1:$A$49,0),MATCH(orders!L$1,products!$A$1:$G$1,0))</f>
        <v>L</v>
      </c>
      <c r="M283" s="14">
        <f>INDEX(products!$A$1:$G$49,MATCH(orders!$D283,products!$A$1:$A$49,0),MATCH(orders!M$1,products!$A$1:$G$1,0))</f>
        <v>1</v>
      </c>
      <c r="N283" s="4">
        <f>INDEX(products!$A$1:$G$49,MATCH(orders!$D283,products!$A$1:$A$49,0),MATCH(orders!N$1,products!$A$1:$G$1,0))</f>
        <v>14.85</v>
      </c>
      <c r="O283" s="13">
        <f t="shared" si="20"/>
        <v>59.4</v>
      </c>
      <c r="P283" s="13">
        <f>_xlfn.XLOOKUP(Orders[[#This Row],[Product ID]],products!$A$1:$A$49,products!$G$1:$G$49,,0)</f>
        <v>1.6335</v>
      </c>
      <c r="Q283" s="13">
        <f t="shared" si="21"/>
        <v>6.5339999999999998</v>
      </c>
      <c r="R283" t="str">
        <f t="shared" si="23"/>
        <v>Execelsa</v>
      </c>
      <c r="S283" t="str">
        <f t="shared" si="24"/>
        <v>Light</v>
      </c>
      <c r="T283" t="str">
        <f>_xlfn.XLOOKUP(Orders[[#This Row],[Customer ID]],customers!$A$1:$A$1001,customers!$I$1:$I$1001,,0)</f>
        <v>Yes</v>
      </c>
    </row>
    <row r="284" spans="1:20" x14ac:dyDescent="0.35">
      <c r="A284" s="2" t="s">
        <v>2085</v>
      </c>
      <c r="B284" s="3">
        <v>43520</v>
      </c>
      <c r="C284" s="2" t="s">
        <v>2086</v>
      </c>
      <c r="D284" t="s">
        <v>6180</v>
      </c>
      <c r="E284" t="str">
        <f t="shared" si="22"/>
        <v>Arabica-Light-0.5</v>
      </c>
      <c r="F284" s="2">
        <v>1</v>
      </c>
      <c r="G284" s="2" t="str" cm="1">
        <f t="array" ref="G284">_xlfn.XLOOKUP(C284, customers!$A$1:A1283,customers!$B$1:B1283,,0)</f>
        <v>Flory Crumpe</v>
      </c>
      <c r="H284" s="2" t="str" cm="1">
        <f t="array" ref="H284">IF(_xlfn.XLOOKUP(C284,customers!$A$1:A1283,customers!$C$1:C1283,,0) = 0,"", _xlfn.XLOOKUP(C284,customers!$A$1:A1283,customers!$C$1:C1283,,0))</f>
        <v>fcrumpe7u@ftc.gov</v>
      </c>
      <c r="I284" s="2" t="str">
        <f>_xlfn.XLOOKUP(C284,customers!$A$1:$A$1001,customers!$G$1:$G$1001,,0)</f>
        <v>United Kingdom</v>
      </c>
      <c r="J284" s="2" t="str">
        <f>_xlfn.XLOOKUP(Orders[[#This Row],[Customer ID]],customers!$A$1:$A$1001,customers!$F$1:$F$1001,,0)</f>
        <v>Norton</v>
      </c>
      <c r="K284" t="str">
        <f>INDEX(products!$A$1:$G$49,MATCH(orders!$D284,products!$A$1:$A$49,0),MATCH(orders!K$1,products!$A$1:$G$1,0))</f>
        <v>Ara</v>
      </c>
      <c r="L284" t="str">
        <f>INDEX(products!$A$1:$G$49,MATCH(orders!$D284,products!$A$1:$A$49,0),MATCH(orders!L$1,products!$A$1:$G$1,0))</f>
        <v>L</v>
      </c>
      <c r="M284" s="14">
        <f>INDEX(products!$A$1:$G$49,MATCH(orders!$D284,products!$A$1:$A$49,0),MATCH(orders!M$1,products!$A$1:$G$1,0))</f>
        <v>0.5</v>
      </c>
      <c r="N284" s="4">
        <f>INDEX(products!$A$1:$G$49,MATCH(orders!$D284,products!$A$1:$A$49,0),MATCH(orders!N$1,products!$A$1:$G$1,0))</f>
        <v>7.77</v>
      </c>
      <c r="O284" s="13">
        <f t="shared" si="20"/>
        <v>7.77</v>
      </c>
      <c r="P284" s="13">
        <f>_xlfn.XLOOKUP(Orders[[#This Row],[Product ID]],products!$A$1:$A$49,products!$G$1:$G$49,,0)</f>
        <v>0.69929999999999992</v>
      </c>
      <c r="Q284" s="13">
        <f t="shared" si="21"/>
        <v>0.69929999999999992</v>
      </c>
      <c r="R284" t="str">
        <f t="shared" si="23"/>
        <v>Arabica</v>
      </c>
      <c r="S284" t="str">
        <f t="shared" si="24"/>
        <v>Light</v>
      </c>
      <c r="T284" t="str">
        <f>_xlfn.XLOOKUP(Orders[[#This Row],[Customer ID]],customers!$A$1:$A$1001,customers!$I$1:$I$1001,,0)</f>
        <v>No</v>
      </c>
    </row>
    <row r="285" spans="1:20" x14ac:dyDescent="0.35">
      <c r="A285" s="2" t="s">
        <v>2091</v>
      </c>
      <c r="B285" s="3">
        <v>43639</v>
      </c>
      <c r="C285" s="2" t="s">
        <v>2092</v>
      </c>
      <c r="D285" t="s">
        <v>6172</v>
      </c>
      <c r="E285" t="str">
        <f t="shared" si="22"/>
        <v>Robusta-Dark-0.5</v>
      </c>
      <c r="F285" s="2">
        <v>1</v>
      </c>
      <c r="G285" s="2" t="str" cm="1">
        <f t="array" ref="G285">_xlfn.XLOOKUP(C285, customers!$A$1:A1284,customers!$B$1:B1284,,0)</f>
        <v>Amity Chatto</v>
      </c>
      <c r="H285" s="2" t="str" cm="1">
        <f t="array" ref="H285">IF(_xlfn.XLOOKUP(C285,customers!$A$1:A1284,customers!$C$1:C1284,,0) = 0,"", _xlfn.XLOOKUP(C285,customers!$A$1:A1284,customers!$C$1:C1284,,0))</f>
        <v>achatto7v@sakura.ne.jp</v>
      </c>
      <c r="I285" s="2" t="str">
        <f>_xlfn.XLOOKUP(C285,customers!$A$1:$A$1001,customers!$G$1:$G$1001,,0)</f>
        <v>United Kingdom</v>
      </c>
      <c r="J285" s="2" t="str">
        <f>_xlfn.XLOOKUP(Orders[[#This Row],[Customer ID]],customers!$A$1:$A$1001,customers!$F$1:$F$1001,,0)</f>
        <v>Sheffield</v>
      </c>
      <c r="K285" t="str">
        <f>INDEX(products!$A$1:$G$49,MATCH(orders!$D285,products!$A$1:$A$49,0),MATCH(orders!K$1,products!$A$1:$G$1,0))</f>
        <v>Rob</v>
      </c>
      <c r="L285" t="str">
        <f>INDEX(products!$A$1:$G$49,MATCH(orders!$D285,products!$A$1:$A$49,0),MATCH(orders!L$1,products!$A$1:$G$1,0))</f>
        <v>D</v>
      </c>
      <c r="M285" s="14">
        <f>INDEX(products!$A$1:$G$49,MATCH(orders!$D285,products!$A$1:$A$49,0),MATCH(orders!M$1,products!$A$1:$G$1,0))</f>
        <v>0.5</v>
      </c>
      <c r="N285" s="4">
        <f>INDEX(products!$A$1:$G$49,MATCH(orders!$D285,products!$A$1:$A$49,0),MATCH(orders!N$1,products!$A$1:$G$1,0))</f>
        <v>5.3699999999999992</v>
      </c>
      <c r="O285" s="13">
        <f t="shared" si="20"/>
        <v>5.3699999999999992</v>
      </c>
      <c r="P285" s="13">
        <f>_xlfn.XLOOKUP(Orders[[#This Row],[Product ID]],products!$A$1:$A$49,products!$G$1:$G$49,,0)</f>
        <v>0.32219999999999993</v>
      </c>
      <c r="Q285" s="13">
        <f t="shared" si="21"/>
        <v>0.32219999999999993</v>
      </c>
      <c r="R285" t="str">
        <f t="shared" si="23"/>
        <v>Robusta</v>
      </c>
      <c r="S285" t="str">
        <f t="shared" si="24"/>
        <v>Dark</v>
      </c>
      <c r="T285" t="str">
        <f>_xlfn.XLOOKUP(Orders[[#This Row],[Customer ID]],customers!$A$1:$A$1001,customers!$I$1:$I$1001,,0)</f>
        <v>Yes</v>
      </c>
    </row>
    <row r="286" spans="1:20" x14ac:dyDescent="0.35">
      <c r="A286" s="2" t="s">
        <v>2097</v>
      </c>
      <c r="B286" s="3">
        <v>43960</v>
      </c>
      <c r="C286" s="2" t="s">
        <v>2098</v>
      </c>
      <c r="D286" t="s">
        <v>6166</v>
      </c>
      <c r="E286" t="str">
        <f t="shared" si="22"/>
        <v>Excelsa-Medium-2.5</v>
      </c>
      <c r="F286" s="2">
        <v>3</v>
      </c>
      <c r="G286" s="2" t="str" cm="1">
        <f t="array" ref="G286">_xlfn.XLOOKUP(C286, customers!$A$1:A1285,customers!$B$1:B1285,,0)</f>
        <v>Nanine McCarthy</v>
      </c>
      <c r="H286" s="2" t="str" cm="1">
        <f t="array" ref="H286">IF(_xlfn.XLOOKUP(C286,customers!$A$1:A1285,customers!$C$1:C1285,,0) = 0,"", _xlfn.XLOOKUP(C286,customers!$A$1:A1285,customers!$C$1:C1285,,0))</f>
        <v/>
      </c>
      <c r="I286" s="2" t="str">
        <f>_xlfn.XLOOKUP(C286,customers!$A$1:$A$1001,customers!$G$1:$G$1001,,0)</f>
        <v>United States</v>
      </c>
      <c r="J286" s="2" t="str">
        <f>_xlfn.XLOOKUP(Orders[[#This Row],[Customer ID]],customers!$A$1:$A$1001,customers!$F$1:$F$1001,,0)</f>
        <v>Louisville</v>
      </c>
      <c r="K286" t="str">
        <f>INDEX(products!$A$1:$G$49,MATCH(orders!$D286,products!$A$1:$A$49,0),MATCH(orders!K$1,products!$A$1:$G$1,0))</f>
        <v>Exc</v>
      </c>
      <c r="L286" t="str">
        <f>INDEX(products!$A$1:$G$49,MATCH(orders!$D286,products!$A$1:$A$49,0),MATCH(orders!L$1,products!$A$1:$G$1,0))</f>
        <v>M</v>
      </c>
      <c r="M286" s="14">
        <f>INDEX(products!$A$1:$G$49,MATCH(orders!$D286,products!$A$1:$A$49,0),MATCH(orders!M$1,products!$A$1:$G$1,0))</f>
        <v>2.5</v>
      </c>
      <c r="N286" s="4">
        <f>INDEX(products!$A$1:$G$49,MATCH(orders!$D286,products!$A$1:$A$49,0),MATCH(orders!N$1,products!$A$1:$G$1,0))</f>
        <v>31.624999999999996</v>
      </c>
      <c r="O286" s="13">
        <f t="shared" si="20"/>
        <v>94.874999999999986</v>
      </c>
      <c r="P286" s="13">
        <f>_xlfn.XLOOKUP(Orders[[#This Row],[Product ID]],products!$A$1:$A$49,products!$G$1:$G$49,,0)</f>
        <v>3.4787499999999998</v>
      </c>
      <c r="Q286" s="13">
        <f t="shared" si="21"/>
        <v>10.436249999999999</v>
      </c>
      <c r="R286" t="str">
        <f t="shared" si="23"/>
        <v>Execelsa</v>
      </c>
      <c r="S286" t="str">
        <f t="shared" si="24"/>
        <v>Medium</v>
      </c>
      <c r="T286" t="str">
        <f>_xlfn.XLOOKUP(Orders[[#This Row],[Customer ID]],customers!$A$1:$A$1001,customers!$I$1:$I$1001,,0)</f>
        <v>No</v>
      </c>
    </row>
    <row r="287" spans="1:20" x14ac:dyDescent="0.35">
      <c r="A287" s="2" t="s">
        <v>2102</v>
      </c>
      <c r="B287" s="3">
        <v>44030</v>
      </c>
      <c r="C287" s="2" t="s">
        <v>2103</v>
      </c>
      <c r="D287" t="s">
        <v>6164</v>
      </c>
      <c r="E287" t="str">
        <f t="shared" si="22"/>
        <v>Liberica-Light-2.5</v>
      </c>
      <c r="F287" s="2">
        <v>1</v>
      </c>
      <c r="G287" s="2" t="str" cm="1">
        <f t="array" ref="G287">_xlfn.XLOOKUP(C287, customers!$A$1:A1286,customers!$B$1:B1286,,0)</f>
        <v>Lyndsey Megany</v>
      </c>
      <c r="H287" s="2" t="str" cm="1">
        <f t="array" ref="H287">IF(_xlfn.XLOOKUP(C287,customers!$A$1:A1286,customers!$C$1:C1286,,0) = 0,"", _xlfn.XLOOKUP(C287,customers!$A$1:A1286,customers!$C$1:C1286,,0))</f>
        <v/>
      </c>
      <c r="I287" s="2" t="str">
        <f>_xlfn.XLOOKUP(C287,customers!$A$1:$A$1001,customers!$G$1:$G$1001,,0)</f>
        <v>United States</v>
      </c>
      <c r="J287" s="2" t="str">
        <f>_xlfn.XLOOKUP(Orders[[#This Row],[Customer ID]],customers!$A$1:$A$1001,customers!$F$1:$F$1001,,0)</f>
        <v>Buffalo</v>
      </c>
      <c r="K287" t="str">
        <f>INDEX(products!$A$1:$G$49,MATCH(orders!$D287,products!$A$1:$A$49,0),MATCH(orders!K$1,products!$A$1:$G$1,0))</f>
        <v>Lib</v>
      </c>
      <c r="L287" t="str">
        <f>INDEX(products!$A$1:$G$49,MATCH(orders!$D287,products!$A$1:$A$49,0),MATCH(orders!L$1,products!$A$1:$G$1,0))</f>
        <v>L</v>
      </c>
      <c r="M287" s="14">
        <f>INDEX(products!$A$1:$G$49,MATCH(orders!$D287,products!$A$1:$A$49,0),MATCH(orders!M$1,products!$A$1:$G$1,0))</f>
        <v>2.5</v>
      </c>
      <c r="N287" s="4">
        <f>INDEX(products!$A$1:$G$49,MATCH(orders!$D287,products!$A$1:$A$49,0),MATCH(orders!N$1,products!$A$1:$G$1,0))</f>
        <v>36.454999999999998</v>
      </c>
      <c r="O287" s="13">
        <f t="shared" si="20"/>
        <v>36.454999999999998</v>
      </c>
      <c r="P287" s="13">
        <f>_xlfn.XLOOKUP(Orders[[#This Row],[Product ID]],products!$A$1:$A$49,products!$G$1:$G$49,,0)</f>
        <v>4.7391499999999995</v>
      </c>
      <c r="Q287" s="13">
        <f t="shared" si="21"/>
        <v>4.7391499999999995</v>
      </c>
      <c r="R287" t="str">
        <f t="shared" si="23"/>
        <v>Liberica</v>
      </c>
      <c r="S287" t="str">
        <f t="shared" si="24"/>
        <v>Light</v>
      </c>
      <c r="T287" t="str">
        <f>_xlfn.XLOOKUP(Orders[[#This Row],[Customer ID]],customers!$A$1:$A$1001,customers!$I$1:$I$1001,,0)</f>
        <v>No</v>
      </c>
    </row>
    <row r="288" spans="1:20" x14ac:dyDescent="0.35">
      <c r="A288" s="2" t="s">
        <v>2107</v>
      </c>
      <c r="B288" s="3">
        <v>43755</v>
      </c>
      <c r="C288" s="2" t="s">
        <v>2108</v>
      </c>
      <c r="D288" t="s">
        <v>6152</v>
      </c>
      <c r="E288" t="str">
        <f t="shared" si="22"/>
        <v>Arabica-Medium-0.2</v>
      </c>
      <c r="F288" s="2">
        <v>4</v>
      </c>
      <c r="G288" s="2" t="str" cm="1">
        <f t="array" ref="G288">_xlfn.XLOOKUP(C288, customers!$A$1:A1287,customers!$B$1:B1287,,0)</f>
        <v>Byram Mergue</v>
      </c>
      <c r="H288" s="2" t="str" cm="1">
        <f t="array" ref="H288">IF(_xlfn.XLOOKUP(C288,customers!$A$1:A1287,customers!$C$1:C1287,,0) = 0,"", _xlfn.XLOOKUP(C288,customers!$A$1:A1287,customers!$C$1:C1287,,0))</f>
        <v>bmergue7y@umn.edu</v>
      </c>
      <c r="I288" s="2" t="str">
        <f>_xlfn.XLOOKUP(C288,customers!$A$1:$A$1001,customers!$G$1:$G$1001,,0)</f>
        <v>United States</v>
      </c>
      <c r="J288" s="2" t="str">
        <f>_xlfn.XLOOKUP(Orders[[#This Row],[Customer ID]],customers!$A$1:$A$1001,customers!$F$1:$F$1001,,0)</f>
        <v>Canton</v>
      </c>
      <c r="K288" t="str">
        <f>INDEX(products!$A$1:$G$49,MATCH(orders!$D288,products!$A$1:$A$49,0),MATCH(orders!K$1,products!$A$1:$G$1,0))</f>
        <v>Ara</v>
      </c>
      <c r="L288" t="str">
        <f>INDEX(products!$A$1:$G$49,MATCH(orders!$D288,products!$A$1:$A$49,0),MATCH(orders!L$1,products!$A$1:$G$1,0))</f>
        <v>M</v>
      </c>
      <c r="M288" s="14">
        <f>INDEX(products!$A$1:$G$49,MATCH(orders!$D288,products!$A$1:$A$49,0),MATCH(orders!M$1,products!$A$1:$G$1,0))</f>
        <v>0.2</v>
      </c>
      <c r="N288" s="4">
        <f>INDEX(products!$A$1:$G$49,MATCH(orders!$D288,products!$A$1:$A$49,0),MATCH(orders!N$1,products!$A$1:$G$1,0))</f>
        <v>3.375</v>
      </c>
      <c r="O288" s="13">
        <f t="shared" si="20"/>
        <v>13.5</v>
      </c>
      <c r="P288" s="13">
        <f>_xlfn.XLOOKUP(Orders[[#This Row],[Product ID]],products!$A$1:$A$49,products!$G$1:$G$49,,0)</f>
        <v>0.30374999999999996</v>
      </c>
      <c r="Q288" s="13">
        <f t="shared" si="21"/>
        <v>1.2149999999999999</v>
      </c>
      <c r="R288" t="str">
        <f t="shared" si="23"/>
        <v>Arabica</v>
      </c>
      <c r="S288" t="str">
        <f t="shared" si="24"/>
        <v>Medium</v>
      </c>
      <c r="T288" t="str">
        <f>_xlfn.XLOOKUP(Orders[[#This Row],[Customer ID]],customers!$A$1:$A$1001,customers!$I$1:$I$1001,,0)</f>
        <v>Yes</v>
      </c>
    </row>
    <row r="289" spans="1:20" x14ac:dyDescent="0.35">
      <c r="A289" s="2" t="s">
        <v>2112</v>
      </c>
      <c r="B289" s="3">
        <v>44697</v>
      </c>
      <c r="C289" s="2" t="s">
        <v>2113</v>
      </c>
      <c r="D289" t="s">
        <v>6178</v>
      </c>
      <c r="E289" t="str">
        <f t="shared" si="22"/>
        <v>Robusta-Light-0.2</v>
      </c>
      <c r="F289" s="2">
        <v>4</v>
      </c>
      <c r="G289" s="2" t="str" cm="1">
        <f t="array" ref="G289">_xlfn.XLOOKUP(C289, customers!$A$1:A1288,customers!$B$1:B1288,,0)</f>
        <v>Kerr Patise</v>
      </c>
      <c r="H289" s="2" t="str" cm="1">
        <f t="array" ref="H289">IF(_xlfn.XLOOKUP(C289,customers!$A$1:A1288,customers!$C$1:C1288,,0) = 0,"", _xlfn.XLOOKUP(C289,customers!$A$1:A1288,customers!$C$1:C1288,,0))</f>
        <v>kpatise7z@jigsy.com</v>
      </c>
      <c r="I289" s="2" t="str">
        <f>_xlfn.XLOOKUP(C289,customers!$A$1:$A$1001,customers!$G$1:$G$1001,,0)</f>
        <v>United States</v>
      </c>
      <c r="J289" s="2" t="str">
        <f>_xlfn.XLOOKUP(Orders[[#This Row],[Customer ID]],customers!$A$1:$A$1001,customers!$F$1:$F$1001,,0)</f>
        <v>Boston</v>
      </c>
      <c r="K289" t="str">
        <f>INDEX(products!$A$1:$G$49,MATCH(orders!$D289,products!$A$1:$A$49,0),MATCH(orders!K$1,products!$A$1:$G$1,0))</f>
        <v>Rob</v>
      </c>
      <c r="L289" t="str">
        <f>INDEX(products!$A$1:$G$49,MATCH(orders!$D289,products!$A$1:$A$49,0),MATCH(orders!L$1,products!$A$1:$G$1,0))</f>
        <v>L</v>
      </c>
      <c r="M289" s="14">
        <f>INDEX(products!$A$1:$G$49,MATCH(orders!$D289,products!$A$1:$A$49,0),MATCH(orders!M$1,products!$A$1:$G$1,0))</f>
        <v>0.2</v>
      </c>
      <c r="N289" s="4">
        <f>INDEX(products!$A$1:$G$49,MATCH(orders!$D289,products!$A$1:$A$49,0),MATCH(orders!N$1,products!$A$1:$G$1,0))</f>
        <v>3.5849999999999995</v>
      </c>
      <c r="O289" s="13">
        <f t="shared" si="20"/>
        <v>14.339999999999998</v>
      </c>
      <c r="P289" s="13">
        <f>_xlfn.XLOOKUP(Orders[[#This Row],[Product ID]],products!$A$1:$A$49,products!$G$1:$G$49,,0)</f>
        <v>0.21509999999999996</v>
      </c>
      <c r="Q289" s="13">
        <f t="shared" si="21"/>
        <v>0.86039999999999983</v>
      </c>
      <c r="R289" t="str">
        <f t="shared" si="23"/>
        <v>Robusta</v>
      </c>
      <c r="S289" t="str">
        <f t="shared" si="24"/>
        <v>Light</v>
      </c>
      <c r="T289" t="str">
        <f>_xlfn.XLOOKUP(Orders[[#This Row],[Customer ID]],customers!$A$1:$A$1001,customers!$I$1:$I$1001,,0)</f>
        <v>No</v>
      </c>
    </row>
    <row r="290" spans="1:20" x14ac:dyDescent="0.35">
      <c r="A290" s="2" t="s">
        <v>2118</v>
      </c>
      <c r="B290" s="3">
        <v>44279</v>
      </c>
      <c r="C290" s="2" t="s">
        <v>2119</v>
      </c>
      <c r="D290" t="s">
        <v>6139</v>
      </c>
      <c r="E290" t="str">
        <f t="shared" si="22"/>
        <v>Excelsa-Medium-0.5</v>
      </c>
      <c r="F290" s="2">
        <v>1</v>
      </c>
      <c r="G290" s="2" t="str" cm="1">
        <f t="array" ref="G290">_xlfn.XLOOKUP(C290, customers!$A$1:A1289,customers!$B$1:B1289,,0)</f>
        <v>Mathew Goulter</v>
      </c>
      <c r="H290" s="2" t="str" cm="1">
        <f t="array" ref="H290">IF(_xlfn.XLOOKUP(C290,customers!$A$1:A1289,customers!$C$1:C1289,,0) = 0,"", _xlfn.XLOOKUP(C290,customers!$A$1:A1289,customers!$C$1:C1289,,0))</f>
        <v/>
      </c>
      <c r="I290" s="2" t="str">
        <f>_xlfn.XLOOKUP(C290,customers!$A$1:$A$1001,customers!$G$1:$G$1001,,0)</f>
        <v>Ireland</v>
      </c>
      <c r="J290" s="2" t="str">
        <f>_xlfn.XLOOKUP(Orders[[#This Row],[Customer ID]],customers!$A$1:$A$1001,customers!$F$1:$F$1001,,0)</f>
        <v>Kinlough</v>
      </c>
      <c r="K290" t="str">
        <f>INDEX(products!$A$1:$G$49,MATCH(orders!$D290,products!$A$1:$A$49,0),MATCH(orders!K$1,products!$A$1:$G$1,0))</f>
        <v>Exc</v>
      </c>
      <c r="L290" t="str">
        <f>INDEX(products!$A$1:$G$49,MATCH(orders!$D290,products!$A$1:$A$49,0),MATCH(orders!L$1,products!$A$1:$G$1,0))</f>
        <v>M</v>
      </c>
      <c r="M290" s="14">
        <f>INDEX(products!$A$1:$G$49,MATCH(orders!$D290,products!$A$1:$A$49,0),MATCH(orders!M$1,products!$A$1:$G$1,0))</f>
        <v>0.5</v>
      </c>
      <c r="N290" s="4">
        <f>INDEX(products!$A$1:$G$49,MATCH(orders!$D290,products!$A$1:$A$49,0),MATCH(orders!N$1,products!$A$1:$G$1,0))</f>
        <v>8.25</v>
      </c>
      <c r="O290" s="13">
        <f t="shared" si="20"/>
        <v>8.25</v>
      </c>
      <c r="P290" s="13">
        <f>_xlfn.XLOOKUP(Orders[[#This Row],[Product ID]],products!$A$1:$A$49,products!$G$1:$G$49,,0)</f>
        <v>0.90749999999999997</v>
      </c>
      <c r="Q290" s="13">
        <f t="shared" si="21"/>
        <v>0.90749999999999997</v>
      </c>
      <c r="R290" t="str">
        <f t="shared" si="23"/>
        <v>Execelsa</v>
      </c>
      <c r="S290" t="str">
        <f t="shared" si="24"/>
        <v>Medium</v>
      </c>
      <c r="T290" t="str">
        <f>_xlfn.XLOOKUP(Orders[[#This Row],[Customer ID]],customers!$A$1:$A$1001,customers!$I$1:$I$1001,,0)</f>
        <v>Yes</v>
      </c>
    </row>
    <row r="291" spans="1:20" x14ac:dyDescent="0.35">
      <c r="A291" s="2" t="s">
        <v>2123</v>
      </c>
      <c r="B291" s="3">
        <v>43772</v>
      </c>
      <c r="C291" s="2" t="s">
        <v>2124</v>
      </c>
      <c r="D291" t="s">
        <v>6163</v>
      </c>
      <c r="E291" t="str">
        <f t="shared" si="22"/>
        <v>Robusta-Dark-0.2</v>
      </c>
      <c r="F291" s="2">
        <v>5</v>
      </c>
      <c r="G291" s="2" t="str" cm="1">
        <f t="array" ref="G291">_xlfn.XLOOKUP(C291, customers!$A$1:A1290,customers!$B$1:B1290,,0)</f>
        <v>Marris Grcic</v>
      </c>
      <c r="H291" s="2" t="str" cm="1">
        <f t="array" ref="H291">IF(_xlfn.XLOOKUP(C291,customers!$A$1:A1290,customers!$C$1:C1290,,0) = 0,"", _xlfn.XLOOKUP(C291,customers!$A$1:A1290,customers!$C$1:C1290,,0))</f>
        <v/>
      </c>
      <c r="I291" s="2" t="str">
        <f>_xlfn.XLOOKUP(C291,customers!$A$1:$A$1001,customers!$G$1:$G$1001,,0)</f>
        <v>United States</v>
      </c>
      <c r="J291" s="2" t="str">
        <f>_xlfn.XLOOKUP(Orders[[#This Row],[Customer ID]],customers!$A$1:$A$1001,customers!$F$1:$F$1001,,0)</f>
        <v>Lynchburg</v>
      </c>
      <c r="K291" t="str">
        <f>INDEX(products!$A$1:$G$49,MATCH(orders!$D291,products!$A$1:$A$49,0),MATCH(orders!K$1,products!$A$1:$G$1,0))</f>
        <v>Rob</v>
      </c>
      <c r="L291" t="str">
        <f>INDEX(products!$A$1:$G$49,MATCH(orders!$D291,products!$A$1:$A$49,0),MATCH(orders!L$1,products!$A$1:$G$1,0))</f>
        <v>D</v>
      </c>
      <c r="M291" s="14">
        <f>INDEX(products!$A$1:$G$49,MATCH(orders!$D291,products!$A$1:$A$49,0),MATCH(orders!M$1,products!$A$1:$G$1,0))</f>
        <v>0.2</v>
      </c>
      <c r="N291" s="4">
        <f>INDEX(products!$A$1:$G$49,MATCH(orders!$D291,products!$A$1:$A$49,0),MATCH(orders!N$1,products!$A$1:$G$1,0))</f>
        <v>2.6849999999999996</v>
      </c>
      <c r="O291" s="13">
        <f t="shared" si="20"/>
        <v>13.424999999999997</v>
      </c>
      <c r="P291" s="13">
        <f>_xlfn.XLOOKUP(Orders[[#This Row],[Product ID]],products!$A$1:$A$49,products!$G$1:$G$49,,0)</f>
        <v>0.16109999999999997</v>
      </c>
      <c r="Q291" s="13">
        <f t="shared" si="21"/>
        <v>0.80549999999999988</v>
      </c>
      <c r="R291" t="str">
        <f t="shared" si="23"/>
        <v>Robusta</v>
      </c>
      <c r="S291" t="str">
        <f t="shared" si="24"/>
        <v>Dark</v>
      </c>
      <c r="T291" t="str">
        <f>_xlfn.XLOOKUP(Orders[[#This Row],[Customer ID]],customers!$A$1:$A$1001,customers!$I$1:$I$1001,,0)</f>
        <v>Yes</v>
      </c>
    </row>
    <row r="292" spans="1:20" x14ac:dyDescent="0.35">
      <c r="A292" s="2" t="s">
        <v>2127</v>
      </c>
      <c r="B292" s="3">
        <v>44497</v>
      </c>
      <c r="C292" s="2" t="s">
        <v>2128</v>
      </c>
      <c r="D292" t="s">
        <v>6147</v>
      </c>
      <c r="E292" t="str">
        <f t="shared" si="22"/>
        <v>Arabica-Dark-1</v>
      </c>
      <c r="F292" s="2">
        <v>5</v>
      </c>
      <c r="G292" s="2" t="str" cm="1">
        <f t="array" ref="G292">_xlfn.XLOOKUP(C292, customers!$A$1:A1291,customers!$B$1:B1291,,0)</f>
        <v>Domeniga Duke</v>
      </c>
      <c r="H292" s="2" t="str" cm="1">
        <f t="array" ref="H292">IF(_xlfn.XLOOKUP(C292,customers!$A$1:A1291,customers!$C$1:C1291,,0) = 0,"", _xlfn.XLOOKUP(C292,customers!$A$1:A1291,customers!$C$1:C1291,,0))</f>
        <v>dduke82@vkontakte.ru</v>
      </c>
      <c r="I292" s="2" t="str">
        <f>_xlfn.XLOOKUP(C292,customers!$A$1:$A$1001,customers!$G$1:$G$1001,,0)</f>
        <v>United States</v>
      </c>
      <c r="J292" s="2" t="str">
        <f>_xlfn.XLOOKUP(Orders[[#This Row],[Customer ID]],customers!$A$1:$A$1001,customers!$F$1:$F$1001,,0)</f>
        <v>Los Angeles</v>
      </c>
      <c r="K292" t="str">
        <f>INDEX(products!$A$1:$G$49,MATCH(orders!$D292,products!$A$1:$A$49,0),MATCH(orders!K$1,products!$A$1:$G$1,0))</f>
        <v>Ara</v>
      </c>
      <c r="L292" t="str">
        <f>INDEX(products!$A$1:$G$49,MATCH(orders!$D292,products!$A$1:$A$49,0),MATCH(orders!L$1,products!$A$1:$G$1,0))</f>
        <v>D</v>
      </c>
      <c r="M292" s="14">
        <f>INDEX(products!$A$1:$G$49,MATCH(orders!$D292,products!$A$1:$A$49,0),MATCH(orders!M$1,products!$A$1:$G$1,0))</f>
        <v>1</v>
      </c>
      <c r="N292" s="4">
        <f>INDEX(products!$A$1:$G$49,MATCH(orders!$D292,products!$A$1:$A$49,0),MATCH(orders!N$1,products!$A$1:$G$1,0))</f>
        <v>9.9499999999999993</v>
      </c>
      <c r="O292" s="13">
        <f t="shared" si="20"/>
        <v>49.75</v>
      </c>
      <c r="P292" s="13">
        <f>_xlfn.XLOOKUP(Orders[[#This Row],[Product ID]],products!$A$1:$A$49,products!$G$1:$G$49,,0)</f>
        <v>0.89549999999999985</v>
      </c>
      <c r="Q292" s="13">
        <f t="shared" si="21"/>
        <v>4.4774999999999991</v>
      </c>
      <c r="R292" t="str">
        <f t="shared" si="23"/>
        <v>Arabica</v>
      </c>
      <c r="S292" t="str">
        <f t="shared" si="24"/>
        <v>Dark</v>
      </c>
      <c r="T292" t="str">
        <f>_xlfn.XLOOKUP(Orders[[#This Row],[Customer ID]],customers!$A$1:$A$1001,customers!$I$1:$I$1001,,0)</f>
        <v>No</v>
      </c>
    </row>
    <row r="293" spans="1:20" x14ac:dyDescent="0.35">
      <c r="A293" s="2" t="s">
        <v>2133</v>
      </c>
      <c r="B293" s="3">
        <v>44181</v>
      </c>
      <c r="C293" s="2" t="s">
        <v>2134</v>
      </c>
      <c r="D293" t="s">
        <v>6139</v>
      </c>
      <c r="E293" t="str">
        <f t="shared" si="22"/>
        <v>Excelsa-Medium-0.5</v>
      </c>
      <c r="F293" s="2">
        <v>2</v>
      </c>
      <c r="G293" s="2" t="str" cm="1">
        <f t="array" ref="G293">_xlfn.XLOOKUP(C293, customers!$A$1:A1292,customers!$B$1:B1292,,0)</f>
        <v>Violante Skouling</v>
      </c>
      <c r="H293" s="2" t="str" cm="1">
        <f t="array" ref="H293">IF(_xlfn.XLOOKUP(C293,customers!$A$1:A1292,customers!$C$1:C1292,,0) = 0,"", _xlfn.XLOOKUP(C293,customers!$A$1:A1292,customers!$C$1:C1292,,0))</f>
        <v/>
      </c>
      <c r="I293" s="2" t="str">
        <f>_xlfn.XLOOKUP(C293,customers!$A$1:$A$1001,customers!$G$1:$G$1001,,0)</f>
        <v>Ireland</v>
      </c>
      <c r="J293" s="2" t="str">
        <f>_xlfn.XLOOKUP(Orders[[#This Row],[Customer ID]],customers!$A$1:$A$1001,customers!$F$1:$F$1001,,0)</f>
        <v>Drumcondra</v>
      </c>
      <c r="K293" t="str">
        <f>INDEX(products!$A$1:$G$49,MATCH(orders!$D293,products!$A$1:$A$49,0),MATCH(orders!K$1,products!$A$1:$G$1,0))</f>
        <v>Exc</v>
      </c>
      <c r="L293" t="str">
        <f>INDEX(products!$A$1:$G$49,MATCH(orders!$D293,products!$A$1:$A$49,0),MATCH(orders!L$1,products!$A$1:$G$1,0))</f>
        <v>M</v>
      </c>
      <c r="M293" s="14">
        <f>INDEX(products!$A$1:$G$49,MATCH(orders!$D293,products!$A$1:$A$49,0),MATCH(orders!M$1,products!$A$1:$G$1,0))</f>
        <v>0.5</v>
      </c>
      <c r="N293" s="4">
        <f>INDEX(products!$A$1:$G$49,MATCH(orders!$D293,products!$A$1:$A$49,0),MATCH(orders!N$1,products!$A$1:$G$1,0))</f>
        <v>8.25</v>
      </c>
      <c r="O293" s="13">
        <f t="shared" si="20"/>
        <v>16.5</v>
      </c>
      <c r="P293" s="13">
        <f>_xlfn.XLOOKUP(Orders[[#This Row],[Product ID]],products!$A$1:$A$49,products!$G$1:$G$49,,0)</f>
        <v>0.90749999999999997</v>
      </c>
      <c r="Q293" s="13">
        <f t="shared" si="21"/>
        <v>1.8149999999999999</v>
      </c>
      <c r="R293" t="str">
        <f t="shared" si="23"/>
        <v>Execelsa</v>
      </c>
      <c r="S293" t="str">
        <f t="shared" si="24"/>
        <v>Medium</v>
      </c>
      <c r="T293" t="str">
        <f>_xlfn.XLOOKUP(Orders[[#This Row],[Customer ID]],customers!$A$1:$A$1001,customers!$I$1:$I$1001,,0)</f>
        <v>No</v>
      </c>
    </row>
    <row r="294" spans="1:20" x14ac:dyDescent="0.35">
      <c r="A294" s="2" t="s">
        <v>2137</v>
      </c>
      <c r="B294" s="3">
        <v>44529</v>
      </c>
      <c r="C294" s="2" t="s">
        <v>2138</v>
      </c>
      <c r="D294" t="s">
        <v>6158</v>
      </c>
      <c r="E294" t="str">
        <f t="shared" si="22"/>
        <v>Arabica-Dark-0.5</v>
      </c>
      <c r="F294" s="2">
        <v>3</v>
      </c>
      <c r="G294" s="2" t="str" cm="1">
        <f t="array" ref="G294">_xlfn.XLOOKUP(C294, customers!$A$1:A1293,customers!$B$1:B1293,,0)</f>
        <v>Isidore Hussey</v>
      </c>
      <c r="H294" s="2" t="str" cm="1">
        <f t="array" ref="H294">IF(_xlfn.XLOOKUP(C294,customers!$A$1:A1293,customers!$C$1:C1293,,0) = 0,"", _xlfn.XLOOKUP(C294,customers!$A$1:A1293,customers!$C$1:C1293,,0))</f>
        <v>ihussey84@mapy.cz</v>
      </c>
      <c r="I294" s="2" t="str">
        <f>_xlfn.XLOOKUP(C294,customers!$A$1:$A$1001,customers!$G$1:$G$1001,,0)</f>
        <v>United States</v>
      </c>
      <c r="J294" s="2" t="str">
        <f>_xlfn.XLOOKUP(Orders[[#This Row],[Customer ID]],customers!$A$1:$A$1001,customers!$F$1:$F$1001,,0)</f>
        <v>Birmingham</v>
      </c>
      <c r="K294" t="str">
        <f>INDEX(products!$A$1:$G$49,MATCH(orders!$D294,products!$A$1:$A$49,0),MATCH(orders!K$1,products!$A$1:$G$1,0))</f>
        <v>Ara</v>
      </c>
      <c r="L294" t="str">
        <f>INDEX(products!$A$1:$G$49,MATCH(orders!$D294,products!$A$1:$A$49,0),MATCH(orders!L$1,products!$A$1:$G$1,0))</f>
        <v>D</v>
      </c>
      <c r="M294" s="14">
        <f>INDEX(products!$A$1:$G$49,MATCH(orders!$D294,products!$A$1:$A$49,0),MATCH(orders!M$1,products!$A$1:$G$1,0))</f>
        <v>0.5</v>
      </c>
      <c r="N294" s="4">
        <f>INDEX(products!$A$1:$G$49,MATCH(orders!$D294,products!$A$1:$A$49,0),MATCH(orders!N$1,products!$A$1:$G$1,0))</f>
        <v>5.97</v>
      </c>
      <c r="O294" s="13">
        <f t="shared" si="20"/>
        <v>17.91</v>
      </c>
      <c r="P294" s="13">
        <f>_xlfn.XLOOKUP(Orders[[#This Row],[Product ID]],products!$A$1:$A$49,products!$G$1:$G$49,,0)</f>
        <v>0.5373</v>
      </c>
      <c r="Q294" s="13">
        <f t="shared" si="21"/>
        <v>1.6118999999999999</v>
      </c>
      <c r="R294" t="str">
        <f t="shared" si="23"/>
        <v>Arabica</v>
      </c>
      <c r="S294" t="str">
        <f t="shared" si="24"/>
        <v>Dark</v>
      </c>
      <c r="T294" t="str">
        <f>_xlfn.XLOOKUP(Orders[[#This Row],[Customer ID]],customers!$A$1:$A$1001,customers!$I$1:$I$1001,,0)</f>
        <v>No</v>
      </c>
    </row>
    <row r="295" spans="1:20" x14ac:dyDescent="0.35">
      <c r="A295" s="2" t="s">
        <v>2142</v>
      </c>
      <c r="B295" s="3">
        <v>44275</v>
      </c>
      <c r="C295" s="2" t="s">
        <v>2143</v>
      </c>
      <c r="D295" t="s">
        <v>6158</v>
      </c>
      <c r="E295" t="str">
        <f t="shared" si="22"/>
        <v>Arabica-Dark-0.5</v>
      </c>
      <c r="F295" s="2">
        <v>5</v>
      </c>
      <c r="G295" s="2" t="str" cm="1">
        <f t="array" ref="G295">_xlfn.XLOOKUP(C295, customers!$A$1:A1294,customers!$B$1:B1294,,0)</f>
        <v>Cassie Pinkerton</v>
      </c>
      <c r="H295" s="2" t="str" cm="1">
        <f t="array" ref="H295">IF(_xlfn.XLOOKUP(C295,customers!$A$1:A1294,customers!$C$1:C1294,,0) = 0,"", _xlfn.XLOOKUP(C295,customers!$A$1:A1294,customers!$C$1:C1294,,0))</f>
        <v>cpinkerton85@upenn.edu</v>
      </c>
      <c r="I295" s="2" t="str">
        <f>_xlfn.XLOOKUP(C295,customers!$A$1:$A$1001,customers!$G$1:$G$1001,,0)</f>
        <v>United States</v>
      </c>
      <c r="J295" s="2" t="str">
        <f>_xlfn.XLOOKUP(Orders[[#This Row],[Customer ID]],customers!$A$1:$A$1001,customers!$F$1:$F$1001,,0)</f>
        <v>Alexandria</v>
      </c>
      <c r="K295" t="str">
        <f>INDEX(products!$A$1:$G$49,MATCH(orders!$D295,products!$A$1:$A$49,0),MATCH(orders!K$1,products!$A$1:$G$1,0))</f>
        <v>Ara</v>
      </c>
      <c r="L295" t="str">
        <f>INDEX(products!$A$1:$G$49,MATCH(orders!$D295,products!$A$1:$A$49,0),MATCH(orders!L$1,products!$A$1:$G$1,0))</f>
        <v>D</v>
      </c>
      <c r="M295" s="14">
        <f>INDEX(products!$A$1:$G$49,MATCH(orders!$D295,products!$A$1:$A$49,0),MATCH(orders!M$1,products!$A$1:$G$1,0))</f>
        <v>0.5</v>
      </c>
      <c r="N295" s="4">
        <f>INDEX(products!$A$1:$G$49,MATCH(orders!$D295,products!$A$1:$A$49,0),MATCH(orders!N$1,products!$A$1:$G$1,0))</f>
        <v>5.97</v>
      </c>
      <c r="O295" s="13">
        <f t="shared" si="20"/>
        <v>29.849999999999998</v>
      </c>
      <c r="P295" s="13">
        <f>_xlfn.XLOOKUP(Orders[[#This Row],[Product ID]],products!$A$1:$A$49,products!$G$1:$G$49,,0)</f>
        <v>0.5373</v>
      </c>
      <c r="Q295" s="13">
        <f t="shared" si="21"/>
        <v>2.6865000000000001</v>
      </c>
      <c r="R295" t="str">
        <f t="shared" si="23"/>
        <v>Arabica</v>
      </c>
      <c r="S295" t="str">
        <f t="shared" si="24"/>
        <v>Dark</v>
      </c>
      <c r="T295" t="str">
        <f>_xlfn.XLOOKUP(Orders[[#This Row],[Customer ID]],customers!$A$1:$A$1001,customers!$I$1:$I$1001,,0)</f>
        <v>No</v>
      </c>
    </row>
    <row r="296" spans="1:20" x14ac:dyDescent="0.35">
      <c r="A296" s="2" t="s">
        <v>2148</v>
      </c>
      <c r="B296" s="3">
        <v>44659</v>
      </c>
      <c r="C296" s="2" t="s">
        <v>2149</v>
      </c>
      <c r="D296" t="s">
        <v>6171</v>
      </c>
      <c r="E296" t="str">
        <f t="shared" si="22"/>
        <v>Excelsa-Light-1</v>
      </c>
      <c r="F296" s="2">
        <v>3</v>
      </c>
      <c r="G296" s="2" t="str" cm="1">
        <f t="array" ref="G296">_xlfn.XLOOKUP(C296, customers!$A$1:A1295,customers!$B$1:B1295,,0)</f>
        <v>Micki Fero</v>
      </c>
      <c r="H296" s="2" t="str" cm="1">
        <f t="array" ref="H296">IF(_xlfn.XLOOKUP(C296,customers!$A$1:A1295,customers!$C$1:C1295,,0) = 0,"", _xlfn.XLOOKUP(C296,customers!$A$1:A1295,customers!$C$1:C1295,,0))</f>
        <v/>
      </c>
      <c r="I296" s="2" t="str">
        <f>_xlfn.XLOOKUP(C296,customers!$A$1:$A$1001,customers!$G$1:$G$1001,,0)</f>
        <v>United States</v>
      </c>
      <c r="J296" s="2" t="str">
        <f>_xlfn.XLOOKUP(Orders[[#This Row],[Customer ID]],customers!$A$1:$A$1001,customers!$F$1:$F$1001,,0)</f>
        <v>Danbury</v>
      </c>
      <c r="K296" t="str">
        <f>INDEX(products!$A$1:$G$49,MATCH(orders!$D296,products!$A$1:$A$49,0),MATCH(orders!K$1,products!$A$1:$G$1,0))</f>
        <v>Exc</v>
      </c>
      <c r="L296" t="str">
        <f>INDEX(products!$A$1:$G$49,MATCH(orders!$D296,products!$A$1:$A$49,0),MATCH(orders!L$1,products!$A$1:$G$1,0))</f>
        <v>L</v>
      </c>
      <c r="M296" s="14">
        <f>INDEX(products!$A$1:$G$49,MATCH(orders!$D296,products!$A$1:$A$49,0),MATCH(orders!M$1,products!$A$1:$G$1,0))</f>
        <v>1</v>
      </c>
      <c r="N296" s="4">
        <f>INDEX(products!$A$1:$G$49,MATCH(orders!$D296,products!$A$1:$A$49,0),MATCH(orders!N$1,products!$A$1:$G$1,0))</f>
        <v>14.85</v>
      </c>
      <c r="O296" s="13">
        <f t="shared" si="20"/>
        <v>44.55</v>
      </c>
      <c r="P296" s="13">
        <f>_xlfn.XLOOKUP(Orders[[#This Row],[Product ID]],products!$A$1:$A$49,products!$G$1:$G$49,,0)</f>
        <v>1.6335</v>
      </c>
      <c r="Q296" s="13">
        <f t="shared" si="21"/>
        <v>4.9005000000000001</v>
      </c>
      <c r="R296" t="str">
        <f t="shared" si="23"/>
        <v>Execelsa</v>
      </c>
      <c r="S296" t="str">
        <f t="shared" si="24"/>
        <v>Light</v>
      </c>
      <c r="T296" t="str">
        <f>_xlfn.XLOOKUP(Orders[[#This Row],[Customer ID]],customers!$A$1:$A$1001,customers!$I$1:$I$1001,,0)</f>
        <v>No</v>
      </c>
    </row>
    <row r="297" spans="1:20" x14ac:dyDescent="0.35">
      <c r="A297" s="2" t="s">
        <v>2153</v>
      </c>
      <c r="B297" s="3">
        <v>44057</v>
      </c>
      <c r="C297" s="2" t="s">
        <v>2154</v>
      </c>
      <c r="D297" t="s">
        <v>6141</v>
      </c>
      <c r="E297" t="str">
        <f t="shared" si="22"/>
        <v>Excelsa-Medium-1</v>
      </c>
      <c r="F297" s="2">
        <v>2</v>
      </c>
      <c r="G297" s="2" t="str" cm="1">
        <f t="array" ref="G297">_xlfn.XLOOKUP(C297, customers!$A$1:A1296,customers!$B$1:B1296,,0)</f>
        <v>Cybill Graddell</v>
      </c>
      <c r="H297" s="2" t="str" cm="1">
        <f t="array" ref="H297">IF(_xlfn.XLOOKUP(C297,customers!$A$1:A1296,customers!$C$1:C1296,,0) = 0,"", _xlfn.XLOOKUP(C297,customers!$A$1:A1296,customers!$C$1:C1296,,0))</f>
        <v/>
      </c>
      <c r="I297" s="2" t="str">
        <f>_xlfn.XLOOKUP(C297,customers!$A$1:$A$1001,customers!$G$1:$G$1001,,0)</f>
        <v>United States</v>
      </c>
      <c r="J297" s="2" t="str">
        <f>_xlfn.XLOOKUP(Orders[[#This Row],[Customer ID]],customers!$A$1:$A$1001,customers!$F$1:$F$1001,,0)</f>
        <v>Albany</v>
      </c>
      <c r="K297" t="str">
        <f>INDEX(products!$A$1:$G$49,MATCH(orders!$D297,products!$A$1:$A$49,0),MATCH(orders!K$1,products!$A$1:$G$1,0))</f>
        <v>Exc</v>
      </c>
      <c r="L297" t="str">
        <f>INDEX(products!$A$1:$G$49,MATCH(orders!$D297,products!$A$1:$A$49,0),MATCH(orders!L$1,products!$A$1:$G$1,0))</f>
        <v>M</v>
      </c>
      <c r="M297" s="14">
        <f>INDEX(products!$A$1:$G$49,MATCH(orders!$D297,products!$A$1:$A$49,0),MATCH(orders!M$1,products!$A$1:$G$1,0))</f>
        <v>1</v>
      </c>
      <c r="N297" s="4">
        <f>INDEX(products!$A$1:$G$49,MATCH(orders!$D297,products!$A$1:$A$49,0),MATCH(orders!N$1,products!$A$1:$G$1,0))</f>
        <v>13.75</v>
      </c>
      <c r="O297" s="13">
        <f t="shared" si="20"/>
        <v>27.5</v>
      </c>
      <c r="P297" s="13">
        <f>_xlfn.XLOOKUP(Orders[[#This Row],[Product ID]],products!$A$1:$A$49,products!$G$1:$G$49,,0)</f>
        <v>1.5125</v>
      </c>
      <c r="Q297" s="13">
        <f t="shared" si="21"/>
        <v>3.0249999999999999</v>
      </c>
      <c r="R297" t="str">
        <f t="shared" si="23"/>
        <v>Execelsa</v>
      </c>
      <c r="S297" t="str">
        <f t="shared" si="24"/>
        <v>Medium</v>
      </c>
      <c r="T297" t="str">
        <f>_xlfn.XLOOKUP(Orders[[#This Row],[Customer ID]],customers!$A$1:$A$1001,customers!$I$1:$I$1001,,0)</f>
        <v>No</v>
      </c>
    </row>
    <row r="298" spans="1:20" x14ac:dyDescent="0.35">
      <c r="A298" s="2" t="s">
        <v>2157</v>
      </c>
      <c r="B298" s="3">
        <v>43597</v>
      </c>
      <c r="C298" s="2" t="s">
        <v>2158</v>
      </c>
      <c r="D298" t="s">
        <v>6146</v>
      </c>
      <c r="E298" t="str">
        <f t="shared" si="22"/>
        <v>Robusta-Medium-0.5</v>
      </c>
      <c r="F298" s="2">
        <v>6</v>
      </c>
      <c r="G298" s="2" t="str" cm="1">
        <f t="array" ref="G298">_xlfn.XLOOKUP(C298, customers!$A$1:A1297,customers!$B$1:B1297,,0)</f>
        <v>Dorian Vizor</v>
      </c>
      <c r="H298" s="2" t="str" cm="1">
        <f t="array" ref="H298">IF(_xlfn.XLOOKUP(C298,customers!$A$1:A1297,customers!$C$1:C1297,,0) = 0,"", _xlfn.XLOOKUP(C298,customers!$A$1:A1297,customers!$C$1:C1297,,0))</f>
        <v>dvizor88@furl.net</v>
      </c>
      <c r="I298" s="2" t="str">
        <f>_xlfn.XLOOKUP(C298,customers!$A$1:$A$1001,customers!$G$1:$G$1001,,0)</f>
        <v>United States</v>
      </c>
      <c r="J298" s="2" t="str">
        <f>_xlfn.XLOOKUP(Orders[[#This Row],[Customer ID]],customers!$A$1:$A$1001,customers!$F$1:$F$1001,,0)</f>
        <v>Naples</v>
      </c>
      <c r="K298" t="str">
        <f>INDEX(products!$A$1:$G$49,MATCH(orders!$D298,products!$A$1:$A$49,0),MATCH(orders!K$1,products!$A$1:$G$1,0))</f>
        <v>Rob</v>
      </c>
      <c r="L298" t="str">
        <f>INDEX(products!$A$1:$G$49,MATCH(orders!$D298,products!$A$1:$A$49,0),MATCH(orders!L$1,products!$A$1:$G$1,0))</f>
        <v>M</v>
      </c>
      <c r="M298" s="14">
        <f>INDEX(products!$A$1:$G$49,MATCH(orders!$D298,products!$A$1:$A$49,0),MATCH(orders!M$1,products!$A$1:$G$1,0))</f>
        <v>0.5</v>
      </c>
      <c r="N298" s="4">
        <f>INDEX(products!$A$1:$G$49,MATCH(orders!$D298,products!$A$1:$A$49,0),MATCH(orders!N$1,products!$A$1:$G$1,0))</f>
        <v>5.97</v>
      </c>
      <c r="O298" s="13">
        <f t="shared" si="20"/>
        <v>35.82</v>
      </c>
      <c r="P298" s="13">
        <f>_xlfn.XLOOKUP(Orders[[#This Row],[Product ID]],products!$A$1:$A$49,products!$G$1:$G$49,,0)</f>
        <v>0.35819999999999996</v>
      </c>
      <c r="Q298" s="13">
        <f t="shared" si="21"/>
        <v>2.1491999999999996</v>
      </c>
      <c r="R298" t="str">
        <f t="shared" si="23"/>
        <v>Robusta</v>
      </c>
      <c r="S298" t="str">
        <f t="shared" si="24"/>
        <v>Medium</v>
      </c>
      <c r="T298" t="str">
        <f>_xlfn.XLOOKUP(Orders[[#This Row],[Customer ID]],customers!$A$1:$A$1001,customers!$I$1:$I$1001,,0)</f>
        <v>Yes</v>
      </c>
    </row>
    <row r="299" spans="1:20" x14ac:dyDescent="0.35">
      <c r="A299" s="2" t="s">
        <v>2163</v>
      </c>
      <c r="B299" s="3">
        <v>44258</v>
      </c>
      <c r="C299" s="2" t="s">
        <v>2164</v>
      </c>
      <c r="D299" t="s">
        <v>6172</v>
      </c>
      <c r="E299" t="str">
        <f t="shared" si="22"/>
        <v>Robusta-Dark-0.5</v>
      </c>
      <c r="F299" s="2">
        <v>3</v>
      </c>
      <c r="G299" s="2" t="str" cm="1">
        <f t="array" ref="G299">_xlfn.XLOOKUP(C299, customers!$A$1:A1298,customers!$B$1:B1298,,0)</f>
        <v>Eddi Sedgebeer</v>
      </c>
      <c r="H299" s="2" t="str" cm="1">
        <f t="array" ref="H299">IF(_xlfn.XLOOKUP(C299,customers!$A$1:A1298,customers!$C$1:C1298,,0) = 0,"", _xlfn.XLOOKUP(C299,customers!$A$1:A1298,customers!$C$1:C1298,,0))</f>
        <v>esedgebeer89@oaic.gov.au</v>
      </c>
      <c r="I299" s="2" t="str">
        <f>_xlfn.XLOOKUP(C299,customers!$A$1:$A$1001,customers!$G$1:$G$1001,,0)</f>
        <v>United States</v>
      </c>
      <c r="J299" s="2" t="str">
        <f>_xlfn.XLOOKUP(Orders[[#This Row],[Customer ID]],customers!$A$1:$A$1001,customers!$F$1:$F$1001,,0)</f>
        <v>Miami Beach</v>
      </c>
      <c r="K299" t="str">
        <f>INDEX(products!$A$1:$G$49,MATCH(orders!$D299,products!$A$1:$A$49,0),MATCH(orders!K$1,products!$A$1:$G$1,0))</f>
        <v>Rob</v>
      </c>
      <c r="L299" t="str">
        <f>INDEX(products!$A$1:$G$49,MATCH(orders!$D299,products!$A$1:$A$49,0),MATCH(orders!L$1,products!$A$1:$G$1,0))</f>
        <v>D</v>
      </c>
      <c r="M299" s="14">
        <f>INDEX(products!$A$1:$G$49,MATCH(orders!$D299,products!$A$1:$A$49,0),MATCH(orders!M$1,products!$A$1:$G$1,0))</f>
        <v>0.5</v>
      </c>
      <c r="N299" s="4">
        <f>INDEX(products!$A$1:$G$49,MATCH(orders!$D299,products!$A$1:$A$49,0),MATCH(orders!N$1,products!$A$1:$G$1,0))</f>
        <v>5.3699999999999992</v>
      </c>
      <c r="O299" s="13">
        <f t="shared" si="20"/>
        <v>16.11</v>
      </c>
      <c r="P299" s="13">
        <f>_xlfn.XLOOKUP(Orders[[#This Row],[Product ID]],products!$A$1:$A$49,products!$G$1:$G$49,,0)</f>
        <v>0.32219999999999993</v>
      </c>
      <c r="Q299" s="13">
        <f t="shared" si="21"/>
        <v>0.96659999999999979</v>
      </c>
      <c r="R299" t="str">
        <f t="shared" si="23"/>
        <v>Robusta</v>
      </c>
      <c r="S299" t="str">
        <f t="shared" si="24"/>
        <v>Dark</v>
      </c>
      <c r="T299" t="str">
        <f>_xlfn.XLOOKUP(Orders[[#This Row],[Customer ID]],customers!$A$1:$A$1001,customers!$I$1:$I$1001,,0)</f>
        <v>Yes</v>
      </c>
    </row>
    <row r="300" spans="1:20" x14ac:dyDescent="0.35">
      <c r="A300" s="2" t="s">
        <v>2169</v>
      </c>
      <c r="B300" s="3">
        <v>43872</v>
      </c>
      <c r="C300" s="2" t="s">
        <v>2170</v>
      </c>
      <c r="D300" t="s">
        <v>6184</v>
      </c>
      <c r="E300" t="str">
        <f t="shared" si="22"/>
        <v>Excelsa-Light-0.2</v>
      </c>
      <c r="F300" s="2">
        <v>6</v>
      </c>
      <c r="G300" s="2" t="str" cm="1">
        <f t="array" ref="G300">_xlfn.XLOOKUP(C300, customers!$A$1:A1299,customers!$B$1:B1299,,0)</f>
        <v>Ken Lestrange</v>
      </c>
      <c r="H300" s="2" t="str" cm="1">
        <f t="array" ref="H300">IF(_xlfn.XLOOKUP(C300,customers!$A$1:A1299,customers!$C$1:C1299,,0) = 0,"", _xlfn.XLOOKUP(C300,customers!$A$1:A1299,customers!$C$1:C1299,,0))</f>
        <v>klestrange8a@lulu.com</v>
      </c>
      <c r="I300" s="2" t="str">
        <f>_xlfn.XLOOKUP(C300,customers!$A$1:$A$1001,customers!$G$1:$G$1001,,0)</f>
        <v>United States</v>
      </c>
      <c r="J300" s="2" t="str">
        <f>_xlfn.XLOOKUP(Orders[[#This Row],[Customer ID]],customers!$A$1:$A$1001,customers!$F$1:$F$1001,,0)</f>
        <v>Atlanta</v>
      </c>
      <c r="K300" t="str">
        <f>INDEX(products!$A$1:$G$49,MATCH(orders!$D300,products!$A$1:$A$49,0),MATCH(orders!K$1,products!$A$1:$G$1,0))</f>
        <v>Exc</v>
      </c>
      <c r="L300" t="str">
        <f>INDEX(products!$A$1:$G$49,MATCH(orders!$D300,products!$A$1:$A$49,0),MATCH(orders!L$1,products!$A$1:$G$1,0))</f>
        <v>L</v>
      </c>
      <c r="M300" s="14">
        <f>INDEX(products!$A$1:$G$49,MATCH(orders!$D300,products!$A$1:$A$49,0),MATCH(orders!M$1,products!$A$1:$G$1,0))</f>
        <v>0.2</v>
      </c>
      <c r="N300" s="4">
        <f>INDEX(products!$A$1:$G$49,MATCH(orders!$D300,products!$A$1:$A$49,0),MATCH(orders!N$1,products!$A$1:$G$1,0))</f>
        <v>4.4550000000000001</v>
      </c>
      <c r="O300" s="13">
        <f t="shared" si="20"/>
        <v>26.73</v>
      </c>
      <c r="P300" s="13">
        <f>_xlfn.XLOOKUP(Orders[[#This Row],[Product ID]],products!$A$1:$A$49,products!$G$1:$G$49,,0)</f>
        <v>0.49004999999999999</v>
      </c>
      <c r="Q300" s="13">
        <f t="shared" si="21"/>
        <v>2.9402999999999997</v>
      </c>
      <c r="R300" t="str">
        <f t="shared" si="23"/>
        <v>Execelsa</v>
      </c>
      <c r="S300" t="str">
        <f t="shared" si="24"/>
        <v>Light</v>
      </c>
      <c r="T300" t="str">
        <f>_xlfn.XLOOKUP(Orders[[#This Row],[Customer ID]],customers!$A$1:$A$1001,customers!$I$1:$I$1001,,0)</f>
        <v>Yes</v>
      </c>
    </row>
    <row r="301" spans="1:20" x14ac:dyDescent="0.35">
      <c r="A301" s="2" t="s">
        <v>2175</v>
      </c>
      <c r="B301" s="3">
        <v>43582</v>
      </c>
      <c r="C301" s="2" t="s">
        <v>2176</v>
      </c>
      <c r="D301" t="s">
        <v>6148</v>
      </c>
      <c r="E301" t="str">
        <f t="shared" si="22"/>
        <v>Excelsa-Light-2.5</v>
      </c>
      <c r="F301" s="2">
        <v>6</v>
      </c>
      <c r="G301" s="2" t="str" cm="1">
        <f t="array" ref="G301">_xlfn.XLOOKUP(C301, customers!$A$1:A1300,customers!$B$1:B1300,,0)</f>
        <v>Lacee Tanti</v>
      </c>
      <c r="H301" s="2" t="str" cm="1">
        <f t="array" ref="H301">IF(_xlfn.XLOOKUP(C301,customers!$A$1:A1300,customers!$C$1:C1300,,0) = 0,"", _xlfn.XLOOKUP(C301,customers!$A$1:A1300,customers!$C$1:C1300,,0))</f>
        <v>ltanti8b@techcrunch.com</v>
      </c>
      <c r="I301" s="2" t="str">
        <f>_xlfn.XLOOKUP(C301,customers!$A$1:$A$1001,customers!$G$1:$G$1001,,0)</f>
        <v>United States</v>
      </c>
      <c r="J301" s="2" t="str">
        <f>_xlfn.XLOOKUP(Orders[[#This Row],[Customer ID]],customers!$A$1:$A$1001,customers!$F$1:$F$1001,,0)</f>
        <v>Corpus Christi</v>
      </c>
      <c r="K301" t="str">
        <f>INDEX(products!$A$1:$G$49,MATCH(orders!$D301,products!$A$1:$A$49,0),MATCH(orders!K$1,products!$A$1:$G$1,0))</f>
        <v>Exc</v>
      </c>
      <c r="L301" t="str">
        <f>INDEX(products!$A$1:$G$49,MATCH(orders!$D301,products!$A$1:$A$49,0),MATCH(orders!L$1,products!$A$1:$G$1,0))</f>
        <v>L</v>
      </c>
      <c r="M301" s="14">
        <f>INDEX(products!$A$1:$G$49,MATCH(orders!$D301,products!$A$1:$A$49,0),MATCH(orders!M$1,products!$A$1:$G$1,0))</f>
        <v>2.5</v>
      </c>
      <c r="N301" s="4">
        <f>INDEX(products!$A$1:$G$49,MATCH(orders!$D301,products!$A$1:$A$49,0),MATCH(orders!N$1,products!$A$1:$G$1,0))</f>
        <v>34.154999999999994</v>
      </c>
      <c r="O301" s="13">
        <f t="shared" si="20"/>
        <v>204.92999999999995</v>
      </c>
      <c r="P301" s="13">
        <f>_xlfn.XLOOKUP(Orders[[#This Row],[Product ID]],products!$A$1:$A$49,products!$G$1:$G$49,,0)</f>
        <v>3.7570499999999996</v>
      </c>
      <c r="Q301" s="13">
        <f t="shared" si="21"/>
        <v>22.542299999999997</v>
      </c>
      <c r="R301" t="str">
        <f t="shared" si="23"/>
        <v>Execelsa</v>
      </c>
      <c r="S301" t="str">
        <f t="shared" si="24"/>
        <v>Light</v>
      </c>
      <c r="T301" t="str">
        <f>_xlfn.XLOOKUP(Orders[[#This Row],[Customer ID]],customers!$A$1:$A$1001,customers!$I$1:$I$1001,,0)</f>
        <v>Yes</v>
      </c>
    </row>
    <row r="302" spans="1:20" x14ac:dyDescent="0.35">
      <c r="A302" s="2" t="s">
        <v>2181</v>
      </c>
      <c r="B302" s="3">
        <v>44646</v>
      </c>
      <c r="C302" s="2" t="s">
        <v>2182</v>
      </c>
      <c r="D302" t="s">
        <v>6140</v>
      </c>
      <c r="E302" t="str">
        <f t="shared" si="22"/>
        <v>Arabica-Light-1</v>
      </c>
      <c r="F302" s="2">
        <v>3</v>
      </c>
      <c r="G302" s="2" t="str" cm="1">
        <f t="array" ref="G302">_xlfn.XLOOKUP(C302, customers!$A$1:A1301,customers!$B$1:B1301,,0)</f>
        <v>Arel De Lasci</v>
      </c>
      <c r="H302" s="2" t="str" cm="1">
        <f t="array" ref="H302">IF(_xlfn.XLOOKUP(C302,customers!$A$1:A1301,customers!$C$1:C1301,,0) = 0,"", _xlfn.XLOOKUP(C302,customers!$A$1:A1301,customers!$C$1:C1301,,0))</f>
        <v>ade8c@1und1.de</v>
      </c>
      <c r="I302" s="2" t="str">
        <f>_xlfn.XLOOKUP(C302,customers!$A$1:$A$1001,customers!$G$1:$G$1001,,0)</f>
        <v>United States</v>
      </c>
      <c r="J302" s="2" t="str">
        <f>_xlfn.XLOOKUP(Orders[[#This Row],[Customer ID]],customers!$A$1:$A$1001,customers!$F$1:$F$1001,,0)</f>
        <v>Honolulu</v>
      </c>
      <c r="K302" t="str">
        <f>INDEX(products!$A$1:$G$49,MATCH(orders!$D302,products!$A$1:$A$49,0),MATCH(orders!K$1,products!$A$1:$G$1,0))</f>
        <v>Ara</v>
      </c>
      <c r="L302" t="str">
        <f>INDEX(products!$A$1:$G$49,MATCH(orders!$D302,products!$A$1:$A$49,0),MATCH(orders!L$1,products!$A$1:$G$1,0))</f>
        <v>L</v>
      </c>
      <c r="M302" s="14">
        <f>INDEX(products!$A$1:$G$49,MATCH(orders!$D302,products!$A$1:$A$49,0),MATCH(orders!M$1,products!$A$1:$G$1,0))</f>
        <v>1</v>
      </c>
      <c r="N302" s="4">
        <f>INDEX(products!$A$1:$G$49,MATCH(orders!$D302,products!$A$1:$A$49,0),MATCH(orders!N$1,products!$A$1:$G$1,0))</f>
        <v>12.95</v>
      </c>
      <c r="O302" s="13">
        <f t="shared" si="20"/>
        <v>38.849999999999994</v>
      </c>
      <c r="P302" s="13">
        <f>_xlfn.XLOOKUP(Orders[[#This Row],[Product ID]],products!$A$1:$A$49,products!$G$1:$G$49,,0)</f>
        <v>1.1655</v>
      </c>
      <c r="Q302" s="13">
        <f t="shared" si="21"/>
        <v>3.4965000000000002</v>
      </c>
      <c r="R302" t="str">
        <f t="shared" si="23"/>
        <v>Arabica</v>
      </c>
      <c r="S302" t="str">
        <f t="shared" si="24"/>
        <v>Light</v>
      </c>
      <c r="T302" t="str">
        <f>_xlfn.XLOOKUP(Orders[[#This Row],[Customer ID]],customers!$A$1:$A$1001,customers!$I$1:$I$1001,,0)</f>
        <v>Yes</v>
      </c>
    </row>
    <row r="303" spans="1:20" x14ac:dyDescent="0.35">
      <c r="A303" s="2" t="s">
        <v>2187</v>
      </c>
      <c r="B303" s="3">
        <v>44102</v>
      </c>
      <c r="C303" s="2" t="s">
        <v>2188</v>
      </c>
      <c r="D303" t="s">
        <v>6150</v>
      </c>
      <c r="E303" t="str">
        <f t="shared" si="22"/>
        <v>Liberica-Dark-0.2</v>
      </c>
      <c r="F303" s="2">
        <v>4</v>
      </c>
      <c r="G303" s="2" t="str" cm="1">
        <f t="array" ref="G303">_xlfn.XLOOKUP(C303, customers!$A$1:A1302,customers!$B$1:B1302,,0)</f>
        <v>Trescha Jedrachowicz</v>
      </c>
      <c r="H303" s="2" t="str" cm="1">
        <f t="array" ref="H303">IF(_xlfn.XLOOKUP(C303,customers!$A$1:A1302,customers!$C$1:C1302,,0) = 0,"", _xlfn.XLOOKUP(C303,customers!$A$1:A1302,customers!$C$1:C1302,,0))</f>
        <v>tjedrachowicz8d@acquirethisname.com</v>
      </c>
      <c r="I303" s="2" t="str">
        <f>_xlfn.XLOOKUP(C303,customers!$A$1:$A$1001,customers!$G$1:$G$1001,,0)</f>
        <v>United States</v>
      </c>
      <c r="J303" s="2" t="str">
        <f>_xlfn.XLOOKUP(Orders[[#This Row],[Customer ID]],customers!$A$1:$A$1001,customers!$F$1:$F$1001,,0)</f>
        <v>Austin</v>
      </c>
      <c r="K303" t="str">
        <f>INDEX(products!$A$1:$G$49,MATCH(orders!$D303,products!$A$1:$A$49,0),MATCH(orders!K$1,products!$A$1:$G$1,0))</f>
        <v>Lib</v>
      </c>
      <c r="L303" t="str">
        <f>INDEX(products!$A$1:$G$49,MATCH(orders!$D303,products!$A$1:$A$49,0),MATCH(orders!L$1,products!$A$1:$G$1,0))</f>
        <v>D</v>
      </c>
      <c r="M303" s="14">
        <f>INDEX(products!$A$1:$G$49,MATCH(orders!$D303,products!$A$1:$A$49,0),MATCH(orders!M$1,products!$A$1:$G$1,0))</f>
        <v>0.2</v>
      </c>
      <c r="N303" s="4">
        <f>INDEX(products!$A$1:$G$49,MATCH(orders!$D303,products!$A$1:$A$49,0),MATCH(orders!N$1,products!$A$1:$G$1,0))</f>
        <v>3.8849999999999998</v>
      </c>
      <c r="O303" s="13">
        <f t="shared" si="20"/>
        <v>15.54</v>
      </c>
      <c r="P303" s="13">
        <f>_xlfn.XLOOKUP(Orders[[#This Row],[Product ID]],products!$A$1:$A$49,products!$G$1:$G$49,,0)</f>
        <v>0.50505</v>
      </c>
      <c r="Q303" s="13">
        <f t="shared" si="21"/>
        <v>2.0202</v>
      </c>
      <c r="R303" t="str">
        <f t="shared" si="23"/>
        <v>Liberica</v>
      </c>
      <c r="S303" t="str">
        <f t="shared" si="24"/>
        <v>Dark</v>
      </c>
      <c r="T303" t="str">
        <f>_xlfn.XLOOKUP(Orders[[#This Row],[Customer ID]],customers!$A$1:$A$1001,customers!$I$1:$I$1001,,0)</f>
        <v>Yes</v>
      </c>
    </row>
    <row r="304" spans="1:20" x14ac:dyDescent="0.35">
      <c r="A304" s="2" t="s">
        <v>2193</v>
      </c>
      <c r="B304" s="3">
        <v>43762</v>
      </c>
      <c r="C304" s="2" t="s">
        <v>2194</v>
      </c>
      <c r="D304" t="s">
        <v>6157</v>
      </c>
      <c r="E304" t="str">
        <f t="shared" si="22"/>
        <v>Arabica-Medium-0.5</v>
      </c>
      <c r="F304" s="2">
        <v>1</v>
      </c>
      <c r="G304" s="2" t="str" cm="1">
        <f t="array" ref="G304">_xlfn.XLOOKUP(C304, customers!$A$1:A1303,customers!$B$1:B1303,,0)</f>
        <v>Perkin Stonner</v>
      </c>
      <c r="H304" s="2" t="str" cm="1">
        <f t="array" ref="H304">IF(_xlfn.XLOOKUP(C304,customers!$A$1:A1303,customers!$C$1:C1303,,0) = 0,"", _xlfn.XLOOKUP(C304,customers!$A$1:A1303,customers!$C$1:C1303,,0))</f>
        <v>pstonner8e@moonfruit.com</v>
      </c>
      <c r="I304" s="2" t="str">
        <f>_xlfn.XLOOKUP(C304,customers!$A$1:$A$1001,customers!$G$1:$G$1001,,0)</f>
        <v>United States</v>
      </c>
      <c r="J304" s="2" t="str">
        <f>_xlfn.XLOOKUP(Orders[[#This Row],[Customer ID]],customers!$A$1:$A$1001,customers!$F$1:$F$1001,,0)</f>
        <v>Baltimore</v>
      </c>
      <c r="K304" t="str">
        <f>INDEX(products!$A$1:$G$49,MATCH(orders!$D304,products!$A$1:$A$49,0),MATCH(orders!K$1,products!$A$1:$G$1,0))</f>
        <v>Ara</v>
      </c>
      <c r="L304" t="str">
        <f>INDEX(products!$A$1:$G$49,MATCH(orders!$D304,products!$A$1:$A$49,0),MATCH(orders!L$1,products!$A$1:$G$1,0))</f>
        <v>M</v>
      </c>
      <c r="M304" s="14">
        <f>INDEX(products!$A$1:$G$49,MATCH(orders!$D304,products!$A$1:$A$49,0),MATCH(orders!M$1,products!$A$1:$G$1,0))</f>
        <v>0.5</v>
      </c>
      <c r="N304" s="4">
        <f>INDEX(products!$A$1:$G$49,MATCH(orders!$D304,products!$A$1:$A$49,0),MATCH(orders!N$1,products!$A$1:$G$1,0))</f>
        <v>6.75</v>
      </c>
      <c r="O304" s="13">
        <f t="shared" si="20"/>
        <v>6.75</v>
      </c>
      <c r="P304" s="13">
        <f>_xlfn.XLOOKUP(Orders[[#This Row],[Product ID]],products!$A$1:$A$49,products!$G$1:$G$49,,0)</f>
        <v>0.60749999999999993</v>
      </c>
      <c r="Q304" s="13">
        <f t="shared" si="21"/>
        <v>0.60749999999999993</v>
      </c>
      <c r="R304" t="str">
        <f t="shared" si="23"/>
        <v>Arabica</v>
      </c>
      <c r="S304" t="str">
        <f t="shared" si="24"/>
        <v>Medium</v>
      </c>
      <c r="T304" t="str">
        <f>_xlfn.XLOOKUP(Orders[[#This Row],[Customer ID]],customers!$A$1:$A$1001,customers!$I$1:$I$1001,,0)</f>
        <v>No</v>
      </c>
    </row>
    <row r="305" spans="1:20" x14ac:dyDescent="0.35">
      <c r="A305" s="2" t="s">
        <v>2199</v>
      </c>
      <c r="B305" s="3">
        <v>44412</v>
      </c>
      <c r="C305" s="2" t="s">
        <v>2200</v>
      </c>
      <c r="D305" t="s">
        <v>6185</v>
      </c>
      <c r="E305" t="str">
        <f t="shared" si="22"/>
        <v>Excelsa-Dark-2.5</v>
      </c>
      <c r="F305" s="2">
        <v>4</v>
      </c>
      <c r="G305" s="2" t="str" cm="1">
        <f t="array" ref="G305">_xlfn.XLOOKUP(C305, customers!$A$1:A1304,customers!$B$1:B1304,,0)</f>
        <v>Darrin Tingly</v>
      </c>
      <c r="H305" s="2" t="str" cm="1">
        <f t="array" ref="H305">IF(_xlfn.XLOOKUP(C305,customers!$A$1:A1304,customers!$C$1:C1304,,0) = 0,"", _xlfn.XLOOKUP(C305,customers!$A$1:A1304,customers!$C$1:C1304,,0))</f>
        <v>dtingly8f@goo.ne.jp</v>
      </c>
      <c r="I305" s="2" t="str">
        <f>_xlfn.XLOOKUP(C305,customers!$A$1:$A$1001,customers!$G$1:$G$1001,,0)</f>
        <v>United States</v>
      </c>
      <c r="J305" s="2" t="str">
        <f>_xlfn.XLOOKUP(Orders[[#This Row],[Customer ID]],customers!$A$1:$A$1001,customers!$F$1:$F$1001,,0)</f>
        <v>Lexington</v>
      </c>
      <c r="K305" t="str">
        <f>INDEX(products!$A$1:$G$49,MATCH(orders!$D305,products!$A$1:$A$49,0),MATCH(orders!K$1,products!$A$1:$G$1,0))</f>
        <v>Exc</v>
      </c>
      <c r="L305" t="str">
        <f>INDEX(products!$A$1:$G$49,MATCH(orders!$D305,products!$A$1:$A$49,0),MATCH(orders!L$1,products!$A$1:$G$1,0))</f>
        <v>D</v>
      </c>
      <c r="M305" s="14">
        <f>INDEX(products!$A$1:$G$49,MATCH(orders!$D305,products!$A$1:$A$49,0),MATCH(orders!M$1,products!$A$1:$G$1,0))</f>
        <v>2.5</v>
      </c>
      <c r="N305" s="4">
        <f>INDEX(products!$A$1:$G$49,MATCH(orders!$D305,products!$A$1:$A$49,0),MATCH(orders!N$1,products!$A$1:$G$1,0))</f>
        <v>27.945</v>
      </c>
      <c r="O305" s="13">
        <f t="shared" si="20"/>
        <v>111.78</v>
      </c>
      <c r="P305" s="13">
        <f>_xlfn.XLOOKUP(Orders[[#This Row],[Product ID]],products!$A$1:$A$49,products!$G$1:$G$49,,0)</f>
        <v>3.07395</v>
      </c>
      <c r="Q305" s="13">
        <f t="shared" si="21"/>
        <v>12.2958</v>
      </c>
      <c r="R305" t="str">
        <f t="shared" si="23"/>
        <v>Execelsa</v>
      </c>
      <c r="S305" t="str">
        <f t="shared" si="24"/>
        <v>Dark</v>
      </c>
      <c r="T305" t="str">
        <f>_xlfn.XLOOKUP(Orders[[#This Row],[Customer ID]],customers!$A$1:$A$1001,customers!$I$1:$I$1001,,0)</f>
        <v>Yes</v>
      </c>
    </row>
    <row r="306" spans="1:20" x14ac:dyDescent="0.35">
      <c r="A306" s="2" t="s">
        <v>2204</v>
      </c>
      <c r="B306" s="3">
        <v>43828</v>
      </c>
      <c r="C306" s="2" t="s">
        <v>2245</v>
      </c>
      <c r="D306" t="s">
        <v>6167</v>
      </c>
      <c r="E306" t="str">
        <f t="shared" si="22"/>
        <v>Arabica-Light-0.2</v>
      </c>
      <c r="F306" s="2">
        <v>1</v>
      </c>
      <c r="G306" s="2" t="str" cm="1">
        <f t="array" ref="G306">_xlfn.XLOOKUP(C306, customers!$A$1:A1305,customers!$B$1:B1305,,0)</f>
        <v>Claudetta Rushe</v>
      </c>
      <c r="H306" s="2" t="str" cm="1">
        <f t="array" ref="H306">IF(_xlfn.XLOOKUP(C306,customers!$A$1:A1305,customers!$C$1:C1305,,0) = 0,"", _xlfn.XLOOKUP(C306,customers!$A$1:A1305,customers!$C$1:C1305,,0))</f>
        <v>crushe8n@about.me</v>
      </c>
      <c r="I306" s="2" t="str">
        <f>_xlfn.XLOOKUP(C306,customers!$A$1:$A$1001,customers!$G$1:$G$1001,,0)</f>
        <v>United States</v>
      </c>
      <c r="J306" s="2" t="str">
        <f>_xlfn.XLOOKUP(Orders[[#This Row],[Customer ID]],customers!$A$1:$A$1001,customers!$F$1:$F$1001,,0)</f>
        <v>Charlotte</v>
      </c>
      <c r="K306" t="str">
        <f>INDEX(products!$A$1:$G$49,MATCH(orders!$D306,products!$A$1:$A$49,0),MATCH(orders!K$1,products!$A$1:$G$1,0))</f>
        <v>Ara</v>
      </c>
      <c r="L306" t="str">
        <f>INDEX(products!$A$1:$G$49,MATCH(orders!$D306,products!$A$1:$A$49,0),MATCH(orders!L$1,products!$A$1:$G$1,0))</f>
        <v>L</v>
      </c>
      <c r="M306" s="14">
        <f>INDEX(products!$A$1:$G$49,MATCH(orders!$D306,products!$A$1:$A$49,0),MATCH(orders!M$1,products!$A$1:$G$1,0))</f>
        <v>0.2</v>
      </c>
      <c r="N306" s="4">
        <f>INDEX(products!$A$1:$G$49,MATCH(orders!$D306,products!$A$1:$A$49,0),MATCH(orders!N$1,products!$A$1:$G$1,0))</f>
        <v>3.8849999999999998</v>
      </c>
      <c r="O306" s="13">
        <f t="shared" si="20"/>
        <v>3.8849999999999998</v>
      </c>
      <c r="P306" s="13">
        <f>_xlfn.XLOOKUP(Orders[[#This Row],[Product ID]],products!$A$1:$A$49,products!$G$1:$G$49,,0)</f>
        <v>0.34964999999999996</v>
      </c>
      <c r="Q306" s="13">
        <f t="shared" si="21"/>
        <v>0.34964999999999996</v>
      </c>
      <c r="R306" t="str">
        <f t="shared" si="23"/>
        <v>Arabica</v>
      </c>
      <c r="S306" t="str">
        <f t="shared" si="24"/>
        <v>Light</v>
      </c>
      <c r="T306" t="str">
        <f>_xlfn.XLOOKUP(Orders[[#This Row],[Customer ID]],customers!$A$1:$A$1001,customers!$I$1:$I$1001,,0)</f>
        <v>Yes</v>
      </c>
    </row>
    <row r="307" spans="1:20" x14ac:dyDescent="0.35">
      <c r="A307" s="2" t="s">
        <v>2209</v>
      </c>
      <c r="B307" s="3">
        <v>43796</v>
      </c>
      <c r="C307" s="2" t="s">
        <v>2210</v>
      </c>
      <c r="D307" t="s">
        <v>6159</v>
      </c>
      <c r="E307" t="str">
        <f t="shared" si="22"/>
        <v>Liberica-Medium-0.2</v>
      </c>
      <c r="F307" s="2">
        <v>5</v>
      </c>
      <c r="G307" s="2" t="str" cm="1">
        <f t="array" ref="G307">_xlfn.XLOOKUP(C307, customers!$A$1:A1306,customers!$B$1:B1306,,0)</f>
        <v>Benn Checci</v>
      </c>
      <c r="H307" s="2" t="str" cm="1">
        <f t="array" ref="H307">IF(_xlfn.XLOOKUP(C307,customers!$A$1:A1306,customers!$C$1:C1306,,0) = 0,"", _xlfn.XLOOKUP(C307,customers!$A$1:A1306,customers!$C$1:C1306,,0))</f>
        <v>bchecci8h@usa.gov</v>
      </c>
      <c r="I307" s="2" t="str">
        <f>_xlfn.XLOOKUP(C307,customers!$A$1:$A$1001,customers!$G$1:$G$1001,,0)</f>
        <v>United Kingdom</v>
      </c>
      <c r="J307" s="2" t="str">
        <f>_xlfn.XLOOKUP(Orders[[#This Row],[Customer ID]],customers!$A$1:$A$1001,customers!$F$1:$F$1001,,0)</f>
        <v>Eaton</v>
      </c>
      <c r="K307" t="str">
        <f>INDEX(products!$A$1:$G$49,MATCH(orders!$D307,products!$A$1:$A$49,0),MATCH(orders!K$1,products!$A$1:$G$1,0))</f>
        <v>Lib</v>
      </c>
      <c r="L307" t="str">
        <f>INDEX(products!$A$1:$G$49,MATCH(orders!$D307,products!$A$1:$A$49,0),MATCH(orders!L$1,products!$A$1:$G$1,0))</f>
        <v>M</v>
      </c>
      <c r="M307" s="14">
        <f>INDEX(products!$A$1:$G$49,MATCH(orders!$D307,products!$A$1:$A$49,0),MATCH(orders!M$1,products!$A$1:$G$1,0))</f>
        <v>0.2</v>
      </c>
      <c r="N307" s="4">
        <f>INDEX(products!$A$1:$G$49,MATCH(orders!$D307,products!$A$1:$A$49,0),MATCH(orders!N$1,products!$A$1:$G$1,0))</f>
        <v>4.3650000000000002</v>
      </c>
      <c r="O307" s="13">
        <f t="shared" si="20"/>
        <v>21.825000000000003</v>
      </c>
      <c r="P307" s="13">
        <f>_xlfn.XLOOKUP(Orders[[#This Row],[Product ID]],products!$A$1:$A$49,products!$G$1:$G$49,,0)</f>
        <v>0.56745000000000001</v>
      </c>
      <c r="Q307" s="13">
        <f t="shared" si="21"/>
        <v>2.83725</v>
      </c>
      <c r="R307" t="str">
        <f t="shared" si="23"/>
        <v>Liberica</v>
      </c>
      <c r="S307" t="str">
        <f t="shared" si="24"/>
        <v>Medium</v>
      </c>
      <c r="T307" t="str">
        <f>_xlfn.XLOOKUP(Orders[[#This Row],[Customer ID]],customers!$A$1:$A$1001,customers!$I$1:$I$1001,,0)</f>
        <v>No</v>
      </c>
    </row>
    <row r="308" spans="1:20" x14ac:dyDescent="0.35">
      <c r="A308" s="2" t="s">
        <v>2215</v>
      </c>
      <c r="B308" s="3">
        <v>43890</v>
      </c>
      <c r="C308" s="2" t="s">
        <v>2216</v>
      </c>
      <c r="D308" t="s">
        <v>6174</v>
      </c>
      <c r="E308" t="str">
        <f t="shared" si="22"/>
        <v>Robusta-Medium-0.2</v>
      </c>
      <c r="F308" s="2">
        <v>5</v>
      </c>
      <c r="G308" s="2" t="str" cm="1">
        <f t="array" ref="G308">_xlfn.XLOOKUP(C308, customers!$A$1:A1307,customers!$B$1:B1307,,0)</f>
        <v>Janifer Bagot</v>
      </c>
      <c r="H308" s="2" t="str" cm="1">
        <f t="array" ref="H308">IF(_xlfn.XLOOKUP(C308,customers!$A$1:A1307,customers!$C$1:C1307,,0) = 0,"", _xlfn.XLOOKUP(C308,customers!$A$1:A1307,customers!$C$1:C1307,,0))</f>
        <v>jbagot8i@mac.com</v>
      </c>
      <c r="I308" s="2" t="str">
        <f>_xlfn.XLOOKUP(C308,customers!$A$1:$A$1001,customers!$G$1:$G$1001,,0)</f>
        <v>United States</v>
      </c>
      <c r="J308" s="2" t="str">
        <f>_xlfn.XLOOKUP(Orders[[#This Row],[Customer ID]],customers!$A$1:$A$1001,customers!$F$1:$F$1001,,0)</f>
        <v>Lincoln</v>
      </c>
      <c r="K308" t="str">
        <f>INDEX(products!$A$1:$G$49,MATCH(orders!$D308,products!$A$1:$A$49,0),MATCH(orders!K$1,products!$A$1:$G$1,0))</f>
        <v>Rob</v>
      </c>
      <c r="L308" t="str">
        <f>INDEX(products!$A$1:$G$49,MATCH(orders!$D308,products!$A$1:$A$49,0),MATCH(orders!L$1,products!$A$1:$G$1,0))</f>
        <v>M</v>
      </c>
      <c r="M308" s="14">
        <f>INDEX(products!$A$1:$G$49,MATCH(orders!$D308,products!$A$1:$A$49,0),MATCH(orders!M$1,products!$A$1:$G$1,0))</f>
        <v>0.2</v>
      </c>
      <c r="N308" s="4">
        <f>INDEX(products!$A$1:$G$49,MATCH(orders!$D308,products!$A$1:$A$49,0),MATCH(orders!N$1,products!$A$1:$G$1,0))</f>
        <v>2.9849999999999999</v>
      </c>
      <c r="O308" s="13">
        <f t="shared" si="20"/>
        <v>14.924999999999999</v>
      </c>
      <c r="P308" s="13">
        <f>_xlfn.XLOOKUP(Orders[[#This Row],[Product ID]],products!$A$1:$A$49,products!$G$1:$G$49,,0)</f>
        <v>0.17909999999999998</v>
      </c>
      <c r="Q308" s="13">
        <f t="shared" si="21"/>
        <v>0.89549999999999996</v>
      </c>
      <c r="R308" t="str">
        <f t="shared" si="23"/>
        <v>Robusta</v>
      </c>
      <c r="S308" t="str">
        <f t="shared" si="24"/>
        <v>Medium</v>
      </c>
      <c r="T308" t="str">
        <f>_xlfn.XLOOKUP(Orders[[#This Row],[Customer ID]],customers!$A$1:$A$1001,customers!$I$1:$I$1001,,0)</f>
        <v>No</v>
      </c>
    </row>
    <row r="309" spans="1:20" x14ac:dyDescent="0.35">
      <c r="A309" s="2" t="s">
        <v>2221</v>
      </c>
      <c r="B309" s="3">
        <v>44227</v>
      </c>
      <c r="C309" s="2" t="s">
        <v>2222</v>
      </c>
      <c r="D309" t="s">
        <v>6155</v>
      </c>
      <c r="E309" t="str">
        <f t="shared" si="22"/>
        <v>Arabica-Medium-1</v>
      </c>
      <c r="F309" s="2">
        <v>3</v>
      </c>
      <c r="G309" s="2" t="str" cm="1">
        <f t="array" ref="G309">_xlfn.XLOOKUP(C309, customers!$A$1:A1308,customers!$B$1:B1308,,0)</f>
        <v>Ermin Beeble</v>
      </c>
      <c r="H309" s="2" t="str" cm="1">
        <f t="array" ref="H309">IF(_xlfn.XLOOKUP(C309,customers!$A$1:A1308,customers!$C$1:C1308,,0) = 0,"", _xlfn.XLOOKUP(C309,customers!$A$1:A1308,customers!$C$1:C1308,,0))</f>
        <v>ebeeble8j@soundcloud.com</v>
      </c>
      <c r="I309" s="2" t="str">
        <f>_xlfn.XLOOKUP(C309,customers!$A$1:$A$1001,customers!$G$1:$G$1001,,0)</f>
        <v>United States</v>
      </c>
      <c r="J309" s="2" t="str">
        <f>_xlfn.XLOOKUP(Orders[[#This Row],[Customer ID]],customers!$A$1:$A$1001,customers!$F$1:$F$1001,,0)</f>
        <v>Cincinnati</v>
      </c>
      <c r="K309" t="str">
        <f>INDEX(products!$A$1:$G$49,MATCH(orders!$D309,products!$A$1:$A$49,0),MATCH(orders!K$1,products!$A$1:$G$1,0))</f>
        <v>Ara</v>
      </c>
      <c r="L309" t="str">
        <f>INDEX(products!$A$1:$G$49,MATCH(orders!$D309,products!$A$1:$A$49,0),MATCH(orders!L$1,products!$A$1:$G$1,0))</f>
        <v>M</v>
      </c>
      <c r="M309" s="14">
        <f>INDEX(products!$A$1:$G$49,MATCH(orders!$D309,products!$A$1:$A$49,0),MATCH(orders!M$1,products!$A$1:$G$1,0))</f>
        <v>1</v>
      </c>
      <c r="N309" s="4">
        <f>INDEX(products!$A$1:$G$49,MATCH(orders!$D309,products!$A$1:$A$49,0),MATCH(orders!N$1,products!$A$1:$G$1,0))</f>
        <v>11.25</v>
      </c>
      <c r="O309" s="13">
        <f t="shared" si="20"/>
        <v>33.75</v>
      </c>
      <c r="P309" s="13">
        <f>_xlfn.XLOOKUP(Orders[[#This Row],[Product ID]],products!$A$1:$A$49,products!$G$1:$G$49,,0)</f>
        <v>1.0125</v>
      </c>
      <c r="Q309" s="13">
        <f t="shared" si="21"/>
        <v>3.0374999999999996</v>
      </c>
      <c r="R309" t="str">
        <f t="shared" si="23"/>
        <v>Arabica</v>
      </c>
      <c r="S309" t="str">
        <f t="shared" si="24"/>
        <v>Medium</v>
      </c>
      <c r="T309" t="str">
        <f>_xlfn.XLOOKUP(Orders[[#This Row],[Customer ID]],customers!$A$1:$A$1001,customers!$I$1:$I$1001,,0)</f>
        <v>Yes</v>
      </c>
    </row>
    <row r="310" spans="1:20" x14ac:dyDescent="0.35">
      <c r="A310" s="2" t="s">
        <v>2227</v>
      </c>
      <c r="B310" s="3">
        <v>44729</v>
      </c>
      <c r="C310" s="2" t="s">
        <v>2228</v>
      </c>
      <c r="D310" t="s">
        <v>6155</v>
      </c>
      <c r="E310" t="str">
        <f t="shared" si="22"/>
        <v>Arabica-Medium-1</v>
      </c>
      <c r="F310" s="2">
        <v>3</v>
      </c>
      <c r="G310" s="2" t="str" cm="1">
        <f t="array" ref="G310">_xlfn.XLOOKUP(C310, customers!$A$1:A1309,customers!$B$1:B1309,,0)</f>
        <v>Cos Fluin</v>
      </c>
      <c r="H310" s="2" t="str" cm="1">
        <f t="array" ref="H310">IF(_xlfn.XLOOKUP(C310,customers!$A$1:A1309,customers!$C$1:C1309,,0) = 0,"", _xlfn.XLOOKUP(C310,customers!$A$1:A1309,customers!$C$1:C1309,,0))</f>
        <v>cfluin8k@flickr.com</v>
      </c>
      <c r="I310" s="2" t="str">
        <f>_xlfn.XLOOKUP(C310,customers!$A$1:$A$1001,customers!$G$1:$G$1001,,0)</f>
        <v>United Kingdom</v>
      </c>
      <c r="J310" s="2" t="str">
        <f>_xlfn.XLOOKUP(Orders[[#This Row],[Customer ID]],customers!$A$1:$A$1001,customers!$F$1:$F$1001,,0)</f>
        <v>Sheffield</v>
      </c>
      <c r="K310" t="str">
        <f>INDEX(products!$A$1:$G$49,MATCH(orders!$D310,products!$A$1:$A$49,0),MATCH(orders!K$1,products!$A$1:$G$1,0))</f>
        <v>Ara</v>
      </c>
      <c r="L310" t="str">
        <f>INDEX(products!$A$1:$G$49,MATCH(orders!$D310,products!$A$1:$A$49,0),MATCH(orders!L$1,products!$A$1:$G$1,0))</f>
        <v>M</v>
      </c>
      <c r="M310" s="14">
        <f>INDEX(products!$A$1:$G$49,MATCH(orders!$D310,products!$A$1:$A$49,0),MATCH(orders!M$1,products!$A$1:$G$1,0))</f>
        <v>1</v>
      </c>
      <c r="N310" s="4">
        <f>INDEX(products!$A$1:$G$49,MATCH(orders!$D310,products!$A$1:$A$49,0),MATCH(orders!N$1,products!$A$1:$G$1,0))</f>
        <v>11.25</v>
      </c>
      <c r="O310" s="13">
        <f t="shared" si="20"/>
        <v>33.75</v>
      </c>
      <c r="P310" s="13">
        <f>_xlfn.XLOOKUP(Orders[[#This Row],[Product ID]],products!$A$1:$A$49,products!$G$1:$G$49,,0)</f>
        <v>1.0125</v>
      </c>
      <c r="Q310" s="13">
        <f t="shared" si="21"/>
        <v>3.0374999999999996</v>
      </c>
      <c r="R310" t="str">
        <f t="shared" si="23"/>
        <v>Arabica</v>
      </c>
      <c r="S310" t="str">
        <f t="shared" si="24"/>
        <v>Medium</v>
      </c>
      <c r="T310" t="str">
        <f>_xlfn.XLOOKUP(Orders[[#This Row],[Customer ID]],customers!$A$1:$A$1001,customers!$I$1:$I$1001,,0)</f>
        <v>No</v>
      </c>
    </row>
    <row r="311" spans="1:20" x14ac:dyDescent="0.35">
      <c r="A311" s="2" t="s">
        <v>2232</v>
      </c>
      <c r="B311" s="3">
        <v>43864</v>
      </c>
      <c r="C311" s="2" t="s">
        <v>2233</v>
      </c>
      <c r="D311" t="s">
        <v>6159</v>
      </c>
      <c r="E311" t="str">
        <f t="shared" si="22"/>
        <v>Liberica-Medium-0.2</v>
      </c>
      <c r="F311" s="2">
        <v>6</v>
      </c>
      <c r="G311" s="2" t="str" cm="1">
        <f t="array" ref="G311">_xlfn.XLOOKUP(C311, customers!$A$1:A1310,customers!$B$1:B1310,,0)</f>
        <v>Eveleen Bletsor</v>
      </c>
      <c r="H311" s="2" t="str" cm="1">
        <f t="array" ref="H311">IF(_xlfn.XLOOKUP(C311,customers!$A$1:A1310,customers!$C$1:C1310,,0) = 0,"", _xlfn.XLOOKUP(C311,customers!$A$1:A1310,customers!$C$1:C1310,,0))</f>
        <v>ebletsor8l@vinaora.com</v>
      </c>
      <c r="I311" s="2" t="str">
        <f>_xlfn.XLOOKUP(C311,customers!$A$1:$A$1001,customers!$G$1:$G$1001,,0)</f>
        <v>United States</v>
      </c>
      <c r="J311" s="2" t="str">
        <f>_xlfn.XLOOKUP(Orders[[#This Row],[Customer ID]],customers!$A$1:$A$1001,customers!$F$1:$F$1001,,0)</f>
        <v>West Hartford</v>
      </c>
      <c r="K311" t="str">
        <f>INDEX(products!$A$1:$G$49,MATCH(orders!$D311,products!$A$1:$A$49,0),MATCH(orders!K$1,products!$A$1:$G$1,0))</f>
        <v>Lib</v>
      </c>
      <c r="L311" t="str">
        <f>INDEX(products!$A$1:$G$49,MATCH(orders!$D311,products!$A$1:$A$49,0),MATCH(orders!L$1,products!$A$1:$G$1,0))</f>
        <v>M</v>
      </c>
      <c r="M311" s="14">
        <f>INDEX(products!$A$1:$G$49,MATCH(orders!$D311,products!$A$1:$A$49,0),MATCH(orders!M$1,products!$A$1:$G$1,0))</f>
        <v>0.2</v>
      </c>
      <c r="N311" s="4">
        <f>INDEX(products!$A$1:$G$49,MATCH(orders!$D311,products!$A$1:$A$49,0),MATCH(orders!N$1,products!$A$1:$G$1,0))</f>
        <v>4.3650000000000002</v>
      </c>
      <c r="O311" s="13">
        <f t="shared" si="20"/>
        <v>26.19</v>
      </c>
      <c r="P311" s="13">
        <f>_xlfn.XLOOKUP(Orders[[#This Row],[Product ID]],products!$A$1:$A$49,products!$G$1:$G$49,,0)</f>
        <v>0.56745000000000001</v>
      </c>
      <c r="Q311" s="13">
        <f t="shared" si="21"/>
        <v>3.4047000000000001</v>
      </c>
      <c r="R311" t="str">
        <f t="shared" si="23"/>
        <v>Liberica</v>
      </c>
      <c r="S311" t="str">
        <f t="shared" si="24"/>
        <v>Medium</v>
      </c>
      <c r="T311" t="str">
        <f>_xlfn.XLOOKUP(Orders[[#This Row],[Customer ID]],customers!$A$1:$A$1001,customers!$I$1:$I$1001,,0)</f>
        <v>Yes</v>
      </c>
    </row>
    <row r="312" spans="1:20" x14ac:dyDescent="0.35">
      <c r="A312" s="2" t="s">
        <v>2238</v>
      </c>
      <c r="B312" s="3">
        <v>44586</v>
      </c>
      <c r="C312" s="2" t="s">
        <v>2239</v>
      </c>
      <c r="D312" t="s">
        <v>6171</v>
      </c>
      <c r="E312" t="str">
        <f t="shared" si="22"/>
        <v>Excelsa-Light-1</v>
      </c>
      <c r="F312" s="2">
        <v>1</v>
      </c>
      <c r="G312" s="2" t="str" cm="1">
        <f t="array" ref="G312">_xlfn.XLOOKUP(C312, customers!$A$1:A1311,customers!$B$1:B1311,,0)</f>
        <v>Paola Brydell</v>
      </c>
      <c r="H312" s="2" t="str" cm="1">
        <f t="array" ref="H312">IF(_xlfn.XLOOKUP(C312,customers!$A$1:A1311,customers!$C$1:C1311,,0) = 0,"", _xlfn.XLOOKUP(C312,customers!$A$1:A1311,customers!$C$1:C1311,,0))</f>
        <v>pbrydell8m@bloglovin.com</v>
      </c>
      <c r="I312" s="2" t="str">
        <f>_xlfn.XLOOKUP(C312,customers!$A$1:$A$1001,customers!$G$1:$G$1001,,0)</f>
        <v>Ireland</v>
      </c>
      <c r="J312" s="2" t="str">
        <f>_xlfn.XLOOKUP(Orders[[#This Row],[Customer ID]],customers!$A$1:$A$1001,customers!$F$1:$F$1001,,0)</f>
        <v>Listowel</v>
      </c>
      <c r="K312" t="str">
        <f>INDEX(products!$A$1:$G$49,MATCH(orders!$D312,products!$A$1:$A$49,0),MATCH(orders!K$1,products!$A$1:$G$1,0))</f>
        <v>Exc</v>
      </c>
      <c r="L312" t="str">
        <f>INDEX(products!$A$1:$G$49,MATCH(orders!$D312,products!$A$1:$A$49,0),MATCH(orders!L$1,products!$A$1:$G$1,0))</f>
        <v>L</v>
      </c>
      <c r="M312" s="14">
        <f>INDEX(products!$A$1:$G$49,MATCH(orders!$D312,products!$A$1:$A$49,0),MATCH(orders!M$1,products!$A$1:$G$1,0))</f>
        <v>1</v>
      </c>
      <c r="N312" s="4">
        <f>INDEX(products!$A$1:$G$49,MATCH(orders!$D312,products!$A$1:$A$49,0),MATCH(orders!N$1,products!$A$1:$G$1,0))</f>
        <v>14.85</v>
      </c>
      <c r="O312" s="13">
        <f t="shared" si="20"/>
        <v>14.85</v>
      </c>
      <c r="P312" s="13">
        <f>_xlfn.XLOOKUP(Orders[[#This Row],[Product ID]],products!$A$1:$A$49,products!$G$1:$G$49,,0)</f>
        <v>1.6335</v>
      </c>
      <c r="Q312" s="13">
        <f t="shared" si="21"/>
        <v>1.6335</v>
      </c>
      <c r="R312" t="str">
        <f t="shared" si="23"/>
        <v>Execelsa</v>
      </c>
      <c r="S312" t="str">
        <f t="shared" si="24"/>
        <v>Light</v>
      </c>
      <c r="T312" t="str">
        <f>_xlfn.XLOOKUP(Orders[[#This Row],[Customer ID]],customers!$A$1:$A$1001,customers!$I$1:$I$1001,,0)</f>
        <v>No</v>
      </c>
    </row>
    <row r="313" spans="1:20" x14ac:dyDescent="0.35">
      <c r="A313" s="2" t="s">
        <v>2244</v>
      </c>
      <c r="B313" s="3">
        <v>43951</v>
      </c>
      <c r="C313" s="2" t="s">
        <v>2245</v>
      </c>
      <c r="D313" t="s">
        <v>6166</v>
      </c>
      <c r="E313" t="str">
        <f t="shared" si="22"/>
        <v>Excelsa-Medium-2.5</v>
      </c>
      <c r="F313" s="2">
        <v>6</v>
      </c>
      <c r="G313" s="2" t="str" cm="1">
        <f t="array" ref="G313">_xlfn.XLOOKUP(C313, customers!$A$1:A1312,customers!$B$1:B1312,,0)</f>
        <v>Claudetta Rushe</v>
      </c>
      <c r="H313" s="2" t="str" cm="1">
        <f t="array" ref="H313">IF(_xlfn.XLOOKUP(C313,customers!$A$1:A1312,customers!$C$1:C1312,,0) = 0,"", _xlfn.XLOOKUP(C313,customers!$A$1:A1312,customers!$C$1:C1312,,0))</f>
        <v>crushe8n@about.me</v>
      </c>
      <c r="I313" s="2" t="str">
        <f>_xlfn.XLOOKUP(C313,customers!$A$1:$A$1001,customers!$G$1:$G$1001,,0)</f>
        <v>United States</v>
      </c>
      <c r="J313" s="2" t="str">
        <f>_xlfn.XLOOKUP(Orders[[#This Row],[Customer ID]],customers!$A$1:$A$1001,customers!$F$1:$F$1001,,0)</f>
        <v>Charlotte</v>
      </c>
      <c r="K313" t="str">
        <f>INDEX(products!$A$1:$G$49,MATCH(orders!$D313,products!$A$1:$A$49,0),MATCH(orders!K$1,products!$A$1:$G$1,0))</f>
        <v>Exc</v>
      </c>
      <c r="L313" t="str">
        <f>INDEX(products!$A$1:$G$49,MATCH(orders!$D313,products!$A$1:$A$49,0),MATCH(orders!L$1,products!$A$1:$G$1,0))</f>
        <v>M</v>
      </c>
      <c r="M313" s="14">
        <f>INDEX(products!$A$1:$G$49,MATCH(orders!$D313,products!$A$1:$A$49,0),MATCH(orders!M$1,products!$A$1:$G$1,0))</f>
        <v>2.5</v>
      </c>
      <c r="N313" s="4">
        <f>INDEX(products!$A$1:$G$49,MATCH(orders!$D313,products!$A$1:$A$49,0),MATCH(orders!N$1,products!$A$1:$G$1,0))</f>
        <v>31.624999999999996</v>
      </c>
      <c r="O313" s="13">
        <f t="shared" si="20"/>
        <v>189.74999999999997</v>
      </c>
      <c r="P313" s="13">
        <f>_xlfn.XLOOKUP(Orders[[#This Row],[Product ID]],products!$A$1:$A$49,products!$G$1:$G$49,,0)</f>
        <v>3.4787499999999998</v>
      </c>
      <c r="Q313" s="13">
        <f t="shared" si="21"/>
        <v>20.872499999999999</v>
      </c>
      <c r="R313" t="str">
        <f t="shared" si="23"/>
        <v>Execelsa</v>
      </c>
      <c r="S313" t="str">
        <f t="shared" si="24"/>
        <v>Medium</v>
      </c>
      <c r="T313" t="str">
        <f>_xlfn.XLOOKUP(Orders[[#This Row],[Customer ID]],customers!$A$1:$A$1001,customers!$I$1:$I$1001,,0)</f>
        <v>Yes</v>
      </c>
    </row>
    <row r="314" spans="1:20" x14ac:dyDescent="0.35">
      <c r="A314" s="2" t="s">
        <v>2250</v>
      </c>
      <c r="B314" s="3">
        <v>44317</v>
      </c>
      <c r="C314" s="2" t="s">
        <v>2251</v>
      </c>
      <c r="D314" t="s">
        <v>6146</v>
      </c>
      <c r="E314" t="str">
        <f t="shared" si="22"/>
        <v>Robusta-Medium-0.5</v>
      </c>
      <c r="F314" s="2">
        <v>1</v>
      </c>
      <c r="G314" s="2" t="str" cm="1">
        <f t="array" ref="G314">_xlfn.XLOOKUP(C314, customers!$A$1:A1313,customers!$B$1:B1313,,0)</f>
        <v>Natka Leethem</v>
      </c>
      <c r="H314" s="2" t="str" cm="1">
        <f t="array" ref="H314">IF(_xlfn.XLOOKUP(C314,customers!$A$1:A1313,customers!$C$1:C1313,,0) = 0,"", _xlfn.XLOOKUP(C314,customers!$A$1:A1313,customers!$C$1:C1313,,0))</f>
        <v>nleethem8o@mac.com</v>
      </c>
      <c r="I314" s="2" t="str">
        <f>_xlfn.XLOOKUP(C314,customers!$A$1:$A$1001,customers!$G$1:$G$1001,,0)</f>
        <v>United States</v>
      </c>
      <c r="J314" s="2" t="str">
        <f>_xlfn.XLOOKUP(Orders[[#This Row],[Customer ID]],customers!$A$1:$A$1001,customers!$F$1:$F$1001,,0)</f>
        <v>Alexandria</v>
      </c>
      <c r="K314" t="str">
        <f>INDEX(products!$A$1:$G$49,MATCH(orders!$D314,products!$A$1:$A$49,0),MATCH(orders!K$1,products!$A$1:$G$1,0))</f>
        <v>Rob</v>
      </c>
      <c r="L314" t="str">
        <f>INDEX(products!$A$1:$G$49,MATCH(orders!$D314,products!$A$1:$A$49,0),MATCH(orders!L$1,products!$A$1:$G$1,0))</f>
        <v>M</v>
      </c>
      <c r="M314" s="14">
        <f>INDEX(products!$A$1:$G$49,MATCH(orders!$D314,products!$A$1:$A$49,0),MATCH(orders!M$1,products!$A$1:$G$1,0))</f>
        <v>0.5</v>
      </c>
      <c r="N314" s="4">
        <f>INDEX(products!$A$1:$G$49,MATCH(orders!$D314,products!$A$1:$A$49,0),MATCH(orders!N$1,products!$A$1:$G$1,0))</f>
        <v>5.97</v>
      </c>
      <c r="O314" s="13">
        <f t="shared" si="20"/>
        <v>5.97</v>
      </c>
      <c r="P314" s="13">
        <f>_xlfn.XLOOKUP(Orders[[#This Row],[Product ID]],products!$A$1:$A$49,products!$G$1:$G$49,,0)</f>
        <v>0.35819999999999996</v>
      </c>
      <c r="Q314" s="13">
        <f t="shared" si="21"/>
        <v>0.35819999999999996</v>
      </c>
      <c r="R314" t="str">
        <f t="shared" si="23"/>
        <v>Robusta</v>
      </c>
      <c r="S314" t="str">
        <f t="shared" si="24"/>
        <v>Medium</v>
      </c>
      <c r="T314" t="str">
        <f>_xlfn.XLOOKUP(Orders[[#This Row],[Customer ID]],customers!$A$1:$A$1001,customers!$I$1:$I$1001,,0)</f>
        <v>Yes</v>
      </c>
    </row>
    <row r="315" spans="1:20" x14ac:dyDescent="0.35">
      <c r="A315" s="2" t="s">
        <v>2256</v>
      </c>
      <c r="B315" s="3">
        <v>44497</v>
      </c>
      <c r="C315" s="2" t="s">
        <v>2257</v>
      </c>
      <c r="D315" t="s">
        <v>6138</v>
      </c>
      <c r="E315" t="str">
        <f t="shared" si="22"/>
        <v>Robusta-Medium-1</v>
      </c>
      <c r="F315" s="2">
        <v>3</v>
      </c>
      <c r="G315" s="2" t="str" cm="1">
        <f t="array" ref="G315">_xlfn.XLOOKUP(C315, customers!$A$1:A1314,customers!$B$1:B1314,,0)</f>
        <v>Ailene Nesfield</v>
      </c>
      <c r="H315" s="2" t="str" cm="1">
        <f t="array" ref="H315">IF(_xlfn.XLOOKUP(C315,customers!$A$1:A1314,customers!$C$1:C1314,,0) = 0,"", _xlfn.XLOOKUP(C315,customers!$A$1:A1314,customers!$C$1:C1314,,0))</f>
        <v>anesfield8p@people.com.cn</v>
      </c>
      <c r="I315" s="2" t="str">
        <f>_xlfn.XLOOKUP(C315,customers!$A$1:$A$1001,customers!$G$1:$G$1001,,0)</f>
        <v>United Kingdom</v>
      </c>
      <c r="J315" s="2" t="str">
        <f>_xlfn.XLOOKUP(Orders[[#This Row],[Customer ID]],customers!$A$1:$A$1001,customers!$F$1:$F$1001,,0)</f>
        <v>Belfast</v>
      </c>
      <c r="K315" t="str">
        <f>INDEX(products!$A$1:$G$49,MATCH(orders!$D315,products!$A$1:$A$49,0),MATCH(orders!K$1,products!$A$1:$G$1,0))</f>
        <v>Rob</v>
      </c>
      <c r="L315" t="str">
        <f>INDEX(products!$A$1:$G$49,MATCH(orders!$D315,products!$A$1:$A$49,0),MATCH(orders!L$1,products!$A$1:$G$1,0))</f>
        <v>M</v>
      </c>
      <c r="M315" s="14">
        <f>INDEX(products!$A$1:$G$49,MATCH(orders!$D315,products!$A$1:$A$49,0),MATCH(orders!M$1,products!$A$1:$G$1,0))</f>
        <v>1</v>
      </c>
      <c r="N315" s="4">
        <f>INDEX(products!$A$1:$G$49,MATCH(orders!$D315,products!$A$1:$A$49,0),MATCH(orders!N$1,products!$A$1:$G$1,0))</f>
        <v>9.9499999999999993</v>
      </c>
      <c r="O315" s="13">
        <f t="shared" si="20"/>
        <v>29.849999999999998</v>
      </c>
      <c r="P315" s="13">
        <f>_xlfn.XLOOKUP(Orders[[#This Row],[Product ID]],products!$A$1:$A$49,products!$G$1:$G$49,,0)</f>
        <v>0.59699999999999998</v>
      </c>
      <c r="Q315" s="13">
        <f t="shared" si="21"/>
        <v>1.7909999999999999</v>
      </c>
      <c r="R315" t="str">
        <f t="shared" si="23"/>
        <v>Robusta</v>
      </c>
      <c r="S315" t="str">
        <f t="shared" si="24"/>
        <v>Medium</v>
      </c>
      <c r="T315" t="str">
        <f>_xlfn.XLOOKUP(Orders[[#This Row],[Customer ID]],customers!$A$1:$A$1001,customers!$I$1:$I$1001,,0)</f>
        <v>Yes</v>
      </c>
    </row>
    <row r="316" spans="1:20" x14ac:dyDescent="0.35">
      <c r="A316" s="2" t="s">
        <v>2262</v>
      </c>
      <c r="B316" s="3">
        <v>44437</v>
      </c>
      <c r="C316" s="2" t="s">
        <v>2263</v>
      </c>
      <c r="D316" t="s">
        <v>6177</v>
      </c>
      <c r="E316" t="str">
        <f t="shared" si="22"/>
        <v>Robusta-Dark-1</v>
      </c>
      <c r="F316" s="2">
        <v>5</v>
      </c>
      <c r="G316" s="2" t="str" cm="1">
        <f t="array" ref="G316">_xlfn.XLOOKUP(C316, customers!$A$1:A1315,customers!$B$1:B1315,,0)</f>
        <v>Stacy Pickworth</v>
      </c>
      <c r="H316" s="2" t="str" cm="1">
        <f t="array" ref="H316">IF(_xlfn.XLOOKUP(C316,customers!$A$1:A1315,customers!$C$1:C1315,,0) = 0,"", _xlfn.XLOOKUP(C316,customers!$A$1:A1315,customers!$C$1:C1315,,0))</f>
        <v/>
      </c>
      <c r="I316" s="2" t="str">
        <f>_xlfn.XLOOKUP(C316,customers!$A$1:$A$1001,customers!$G$1:$G$1001,,0)</f>
        <v>United States</v>
      </c>
      <c r="J316" s="2" t="str">
        <f>_xlfn.XLOOKUP(Orders[[#This Row],[Customer ID]],customers!$A$1:$A$1001,customers!$F$1:$F$1001,,0)</f>
        <v>Las Vegas</v>
      </c>
      <c r="K316" t="str">
        <f>INDEX(products!$A$1:$G$49,MATCH(orders!$D316,products!$A$1:$A$49,0),MATCH(orders!K$1,products!$A$1:$G$1,0))</f>
        <v>Rob</v>
      </c>
      <c r="L316" t="str">
        <f>INDEX(products!$A$1:$G$49,MATCH(orders!$D316,products!$A$1:$A$49,0),MATCH(orders!L$1,products!$A$1:$G$1,0))</f>
        <v>D</v>
      </c>
      <c r="M316" s="14">
        <f>INDEX(products!$A$1:$G$49,MATCH(orders!$D316,products!$A$1:$A$49,0),MATCH(orders!M$1,products!$A$1:$G$1,0))</f>
        <v>1</v>
      </c>
      <c r="N316" s="4">
        <f>INDEX(products!$A$1:$G$49,MATCH(orders!$D316,products!$A$1:$A$49,0),MATCH(orders!N$1,products!$A$1:$G$1,0))</f>
        <v>8.9499999999999993</v>
      </c>
      <c r="O316" s="13">
        <f t="shared" si="20"/>
        <v>44.75</v>
      </c>
      <c r="P316" s="13">
        <f>_xlfn.XLOOKUP(Orders[[#This Row],[Product ID]],products!$A$1:$A$49,products!$G$1:$G$49,,0)</f>
        <v>0.53699999999999992</v>
      </c>
      <c r="Q316" s="13">
        <f t="shared" si="21"/>
        <v>2.6849999999999996</v>
      </c>
      <c r="R316" t="str">
        <f t="shared" si="23"/>
        <v>Robusta</v>
      </c>
      <c r="S316" t="str">
        <f t="shared" si="24"/>
        <v>Dark</v>
      </c>
      <c r="T316" t="str">
        <f>_xlfn.XLOOKUP(Orders[[#This Row],[Customer ID]],customers!$A$1:$A$1001,customers!$I$1:$I$1001,,0)</f>
        <v>No</v>
      </c>
    </row>
    <row r="317" spans="1:20" x14ac:dyDescent="0.35">
      <c r="A317" s="2" t="s">
        <v>2267</v>
      </c>
      <c r="B317" s="3">
        <v>43826</v>
      </c>
      <c r="C317" s="2" t="s">
        <v>2268</v>
      </c>
      <c r="D317" t="s">
        <v>6148</v>
      </c>
      <c r="E317" t="str">
        <f t="shared" si="22"/>
        <v>Excelsa-Light-2.5</v>
      </c>
      <c r="F317" s="2">
        <v>1</v>
      </c>
      <c r="G317" s="2" t="str" cm="1">
        <f t="array" ref="G317">_xlfn.XLOOKUP(C317, customers!$A$1:A1316,customers!$B$1:B1316,,0)</f>
        <v>Melli Brockway</v>
      </c>
      <c r="H317" s="2" t="str" cm="1">
        <f t="array" ref="H317">IF(_xlfn.XLOOKUP(C317,customers!$A$1:A1316,customers!$C$1:C1316,,0) = 0,"", _xlfn.XLOOKUP(C317,customers!$A$1:A1316,customers!$C$1:C1316,,0))</f>
        <v>mbrockway8r@ibm.com</v>
      </c>
      <c r="I317" s="2" t="str">
        <f>_xlfn.XLOOKUP(C317,customers!$A$1:$A$1001,customers!$G$1:$G$1001,,0)</f>
        <v>United States</v>
      </c>
      <c r="J317" s="2" t="str">
        <f>_xlfn.XLOOKUP(Orders[[#This Row],[Customer ID]],customers!$A$1:$A$1001,customers!$F$1:$F$1001,,0)</f>
        <v>Des Moines</v>
      </c>
      <c r="K317" t="str">
        <f>INDEX(products!$A$1:$G$49,MATCH(orders!$D317,products!$A$1:$A$49,0),MATCH(orders!K$1,products!$A$1:$G$1,0))</f>
        <v>Exc</v>
      </c>
      <c r="L317" t="str">
        <f>INDEX(products!$A$1:$G$49,MATCH(orders!$D317,products!$A$1:$A$49,0),MATCH(orders!L$1,products!$A$1:$G$1,0))</f>
        <v>L</v>
      </c>
      <c r="M317" s="14">
        <f>INDEX(products!$A$1:$G$49,MATCH(orders!$D317,products!$A$1:$A$49,0),MATCH(orders!M$1,products!$A$1:$G$1,0))</f>
        <v>2.5</v>
      </c>
      <c r="N317" s="4">
        <f>INDEX(products!$A$1:$G$49,MATCH(orders!$D317,products!$A$1:$A$49,0),MATCH(orders!N$1,products!$A$1:$G$1,0))</f>
        <v>34.154999999999994</v>
      </c>
      <c r="O317" s="13">
        <f t="shared" si="20"/>
        <v>34.154999999999994</v>
      </c>
      <c r="P317" s="13">
        <f>_xlfn.XLOOKUP(Orders[[#This Row],[Product ID]],products!$A$1:$A$49,products!$G$1:$G$49,,0)</f>
        <v>3.7570499999999996</v>
      </c>
      <c r="Q317" s="13">
        <f t="shared" si="21"/>
        <v>3.7570499999999996</v>
      </c>
      <c r="R317" t="str">
        <f t="shared" si="23"/>
        <v>Execelsa</v>
      </c>
      <c r="S317" t="str">
        <f t="shared" si="24"/>
        <v>Light</v>
      </c>
      <c r="T317" t="str">
        <f>_xlfn.XLOOKUP(Orders[[#This Row],[Customer ID]],customers!$A$1:$A$1001,customers!$I$1:$I$1001,,0)</f>
        <v>Yes</v>
      </c>
    </row>
    <row r="318" spans="1:20" x14ac:dyDescent="0.35">
      <c r="A318" s="2" t="s">
        <v>2273</v>
      </c>
      <c r="B318" s="3">
        <v>43641</v>
      </c>
      <c r="C318" s="2" t="s">
        <v>2274</v>
      </c>
      <c r="D318" t="s">
        <v>6148</v>
      </c>
      <c r="E318" t="str">
        <f t="shared" si="22"/>
        <v>Excelsa-Light-2.5</v>
      </c>
      <c r="F318" s="2">
        <v>6</v>
      </c>
      <c r="G318" s="2" t="str" cm="1">
        <f t="array" ref="G318">_xlfn.XLOOKUP(C318, customers!$A$1:A1317,customers!$B$1:B1317,,0)</f>
        <v>Nanny Lush</v>
      </c>
      <c r="H318" s="2" t="str" cm="1">
        <f t="array" ref="H318">IF(_xlfn.XLOOKUP(C318,customers!$A$1:A1317,customers!$C$1:C1317,,0) = 0,"", _xlfn.XLOOKUP(C318,customers!$A$1:A1317,customers!$C$1:C1317,,0))</f>
        <v>nlush8s@dedecms.com</v>
      </c>
      <c r="I318" s="2" t="str">
        <f>_xlfn.XLOOKUP(C318,customers!$A$1:$A$1001,customers!$G$1:$G$1001,,0)</f>
        <v>Ireland</v>
      </c>
      <c r="J318" s="2" t="str">
        <f>_xlfn.XLOOKUP(Orders[[#This Row],[Customer ID]],customers!$A$1:$A$1001,customers!$F$1:$F$1001,,0)</f>
        <v>Ballivor</v>
      </c>
      <c r="K318" t="str">
        <f>INDEX(products!$A$1:$G$49,MATCH(orders!$D318,products!$A$1:$A$49,0),MATCH(orders!K$1,products!$A$1:$G$1,0))</f>
        <v>Exc</v>
      </c>
      <c r="L318" t="str">
        <f>INDEX(products!$A$1:$G$49,MATCH(orders!$D318,products!$A$1:$A$49,0),MATCH(orders!L$1,products!$A$1:$G$1,0))</f>
        <v>L</v>
      </c>
      <c r="M318" s="14">
        <f>INDEX(products!$A$1:$G$49,MATCH(orders!$D318,products!$A$1:$A$49,0),MATCH(orders!M$1,products!$A$1:$G$1,0))</f>
        <v>2.5</v>
      </c>
      <c r="N318" s="4">
        <f>INDEX(products!$A$1:$G$49,MATCH(orders!$D318,products!$A$1:$A$49,0),MATCH(orders!N$1,products!$A$1:$G$1,0))</f>
        <v>34.154999999999994</v>
      </c>
      <c r="O318" s="13">
        <f t="shared" si="20"/>
        <v>204.92999999999995</v>
      </c>
      <c r="P318" s="13">
        <f>_xlfn.XLOOKUP(Orders[[#This Row],[Product ID]],products!$A$1:$A$49,products!$G$1:$G$49,,0)</f>
        <v>3.7570499999999996</v>
      </c>
      <c r="Q318" s="13">
        <f t="shared" si="21"/>
        <v>22.542299999999997</v>
      </c>
      <c r="R318" t="str">
        <f t="shared" si="23"/>
        <v>Execelsa</v>
      </c>
      <c r="S318" t="str">
        <f t="shared" si="24"/>
        <v>Light</v>
      </c>
      <c r="T318" t="str">
        <f>_xlfn.XLOOKUP(Orders[[#This Row],[Customer ID]],customers!$A$1:$A$1001,customers!$I$1:$I$1001,,0)</f>
        <v>No</v>
      </c>
    </row>
    <row r="319" spans="1:20" x14ac:dyDescent="0.35">
      <c r="A319" s="2" t="s">
        <v>2279</v>
      </c>
      <c r="B319" s="3">
        <v>43526</v>
      </c>
      <c r="C319" s="2" t="s">
        <v>2280</v>
      </c>
      <c r="D319" t="s">
        <v>6144</v>
      </c>
      <c r="E319" t="str">
        <f t="shared" si="22"/>
        <v>Excelsa-Dark-0.5</v>
      </c>
      <c r="F319" s="2">
        <v>3</v>
      </c>
      <c r="G319" s="2" t="str" cm="1">
        <f t="array" ref="G319">_xlfn.XLOOKUP(C319, customers!$A$1:A1318,customers!$B$1:B1318,,0)</f>
        <v>Selma McMillian</v>
      </c>
      <c r="H319" s="2" t="str" cm="1">
        <f t="array" ref="H319">IF(_xlfn.XLOOKUP(C319,customers!$A$1:A1318,customers!$C$1:C1318,,0) = 0,"", _xlfn.XLOOKUP(C319,customers!$A$1:A1318,customers!$C$1:C1318,,0))</f>
        <v>smcmillian8t@csmonitor.com</v>
      </c>
      <c r="I319" s="2" t="str">
        <f>_xlfn.XLOOKUP(C319,customers!$A$1:$A$1001,customers!$G$1:$G$1001,,0)</f>
        <v>United States</v>
      </c>
      <c r="J319" s="2" t="str">
        <f>_xlfn.XLOOKUP(Orders[[#This Row],[Customer ID]],customers!$A$1:$A$1001,customers!$F$1:$F$1001,,0)</f>
        <v>Akron</v>
      </c>
      <c r="K319" t="str">
        <f>INDEX(products!$A$1:$G$49,MATCH(orders!$D319,products!$A$1:$A$49,0),MATCH(orders!K$1,products!$A$1:$G$1,0))</f>
        <v>Exc</v>
      </c>
      <c r="L319" t="str">
        <f>INDEX(products!$A$1:$G$49,MATCH(orders!$D319,products!$A$1:$A$49,0),MATCH(orders!L$1,products!$A$1:$G$1,0))</f>
        <v>D</v>
      </c>
      <c r="M319" s="14">
        <f>INDEX(products!$A$1:$G$49,MATCH(orders!$D319,products!$A$1:$A$49,0),MATCH(orders!M$1,products!$A$1:$G$1,0))</f>
        <v>0.5</v>
      </c>
      <c r="N319" s="4">
        <f>INDEX(products!$A$1:$G$49,MATCH(orders!$D319,products!$A$1:$A$49,0),MATCH(orders!N$1,products!$A$1:$G$1,0))</f>
        <v>7.29</v>
      </c>
      <c r="O319" s="13">
        <f t="shared" si="20"/>
        <v>21.87</v>
      </c>
      <c r="P319" s="13">
        <f>_xlfn.XLOOKUP(Orders[[#This Row],[Product ID]],products!$A$1:$A$49,products!$G$1:$G$49,,0)</f>
        <v>0.80190000000000006</v>
      </c>
      <c r="Q319" s="13">
        <f t="shared" si="21"/>
        <v>2.4057000000000004</v>
      </c>
      <c r="R319" t="str">
        <f t="shared" si="23"/>
        <v>Execelsa</v>
      </c>
      <c r="S319" t="str">
        <f t="shared" si="24"/>
        <v>Dark</v>
      </c>
      <c r="T319" t="str">
        <f>_xlfn.XLOOKUP(Orders[[#This Row],[Customer ID]],customers!$A$1:$A$1001,customers!$I$1:$I$1001,,0)</f>
        <v>No</v>
      </c>
    </row>
    <row r="320" spans="1:20" x14ac:dyDescent="0.35">
      <c r="A320" s="2" t="s">
        <v>2285</v>
      </c>
      <c r="B320" s="3">
        <v>44563</v>
      </c>
      <c r="C320" s="2" t="s">
        <v>2286</v>
      </c>
      <c r="D320" t="s">
        <v>6175</v>
      </c>
      <c r="E320" t="str">
        <f t="shared" si="22"/>
        <v>Arabica-Medium-2.5</v>
      </c>
      <c r="F320" s="2">
        <v>2</v>
      </c>
      <c r="G320" s="2" t="str" cm="1">
        <f t="array" ref="G320">_xlfn.XLOOKUP(C320, customers!$A$1:A1319,customers!$B$1:B1319,,0)</f>
        <v>Tess Bennison</v>
      </c>
      <c r="H320" s="2" t="str" cm="1">
        <f t="array" ref="H320">IF(_xlfn.XLOOKUP(C320,customers!$A$1:A1319,customers!$C$1:C1319,,0) = 0,"", _xlfn.XLOOKUP(C320,customers!$A$1:A1319,customers!$C$1:C1319,,0))</f>
        <v>tbennison8u@google.cn</v>
      </c>
      <c r="I320" s="2" t="str">
        <f>_xlfn.XLOOKUP(C320,customers!$A$1:$A$1001,customers!$G$1:$G$1001,,0)</f>
        <v>United States</v>
      </c>
      <c r="J320" s="2" t="str">
        <f>_xlfn.XLOOKUP(Orders[[#This Row],[Customer ID]],customers!$A$1:$A$1001,customers!$F$1:$F$1001,,0)</f>
        <v>West Palm Beach</v>
      </c>
      <c r="K320" t="str">
        <f>INDEX(products!$A$1:$G$49,MATCH(orders!$D320,products!$A$1:$A$49,0),MATCH(orders!K$1,products!$A$1:$G$1,0))</f>
        <v>Ara</v>
      </c>
      <c r="L320" t="str">
        <f>INDEX(products!$A$1:$G$49,MATCH(orders!$D320,products!$A$1:$A$49,0),MATCH(orders!L$1,products!$A$1:$G$1,0))</f>
        <v>M</v>
      </c>
      <c r="M320" s="14">
        <f>INDEX(products!$A$1:$G$49,MATCH(orders!$D320,products!$A$1:$A$49,0),MATCH(orders!M$1,products!$A$1:$G$1,0))</f>
        <v>2.5</v>
      </c>
      <c r="N320" s="4">
        <f>INDEX(products!$A$1:$G$49,MATCH(orders!$D320,products!$A$1:$A$49,0),MATCH(orders!N$1,products!$A$1:$G$1,0))</f>
        <v>25.874999999999996</v>
      </c>
      <c r="O320" s="13">
        <f t="shared" si="20"/>
        <v>51.749999999999993</v>
      </c>
      <c r="P320" s="13">
        <f>_xlfn.XLOOKUP(Orders[[#This Row],[Product ID]],products!$A$1:$A$49,products!$G$1:$G$49,,0)</f>
        <v>2.3287499999999994</v>
      </c>
      <c r="Q320" s="13">
        <f t="shared" si="21"/>
        <v>4.6574999999999989</v>
      </c>
      <c r="R320" t="str">
        <f t="shared" si="23"/>
        <v>Arabica</v>
      </c>
      <c r="S320" t="str">
        <f t="shared" si="24"/>
        <v>Medium</v>
      </c>
      <c r="T320" t="str">
        <f>_xlfn.XLOOKUP(Orders[[#This Row],[Customer ID]],customers!$A$1:$A$1001,customers!$I$1:$I$1001,,0)</f>
        <v>Yes</v>
      </c>
    </row>
    <row r="321" spans="1:20" x14ac:dyDescent="0.35">
      <c r="A321" s="2" t="s">
        <v>2291</v>
      </c>
      <c r="B321" s="3">
        <v>43676</v>
      </c>
      <c r="C321" s="2" t="s">
        <v>2292</v>
      </c>
      <c r="D321" t="s">
        <v>6156</v>
      </c>
      <c r="E321" t="str">
        <f t="shared" si="22"/>
        <v>Excelsa-Medium-0.2</v>
      </c>
      <c r="F321" s="2">
        <v>2</v>
      </c>
      <c r="G321" s="2" t="str" cm="1">
        <f t="array" ref="G321">_xlfn.XLOOKUP(C321, customers!$A$1:A1320,customers!$B$1:B1320,,0)</f>
        <v>Gabie Tweed</v>
      </c>
      <c r="H321" s="2" t="str" cm="1">
        <f t="array" ref="H321">IF(_xlfn.XLOOKUP(C321,customers!$A$1:A1320,customers!$C$1:C1320,,0) = 0,"", _xlfn.XLOOKUP(C321,customers!$A$1:A1320,customers!$C$1:C1320,,0))</f>
        <v>gtweed8v@yolasite.com</v>
      </c>
      <c r="I321" s="2" t="str">
        <f>_xlfn.XLOOKUP(C321,customers!$A$1:$A$1001,customers!$G$1:$G$1001,,0)</f>
        <v>United States</v>
      </c>
      <c r="J321" s="2" t="str">
        <f>_xlfn.XLOOKUP(Orders[[#This Row],[Customer ID]],customers!$A$1:$A$1001,customers!$F$1:$F$1001,,0)</f>
        <v>Fresno</v>
      </c>
      <c r="K321" t="str">
        <f>INDEX(products!$A$1:$G$49,MATCH(orders!$D321,products!$A$1:$A$49,0),MATCH(orders!K$1,products!$A$1:$G$1,0))</f>
        <v>Exc</v>
      </c>
      <c r="L321" t="str">
        <f>INDEX(products!$A$1:$G$49,MATCH(orders!$D321,products!$A$1:$A$49,0),MATCH(orders!L$1,products!$A$1:$G$1,0))</f>
        <v>M</v>
      </c>
      <c r="M321" s="14">
        <f>INDEX(products!$A$1:$G$49,MATCH(orders!$D321,products!$A$1:$A$49,0),MATCH(orders!M$1,products!$A$1:$G$1,0))</f>
        <v>0.2</v>
      </c>
      <c r="N321" s="4">
        <f>INDEX(products!$A$1:$G$49,MATCH(orders!$D321,products!$A$1:$A$49,0),MATCH(orders!N$1,products!$A$1:$G$1,0))</f>
        <v>4.125</v>
      </c>
      <c r="O321" s="13">
        <f t="shared" si="20"/>
        <v>8.25</v>
      </c>
      <c r="P321" s="13">
        <f>_xlfn.XLOOKUP(Orders[[#This Row],[Product ID]],products!$A$1:$A$49,products!$G$1:$G$49,,0)</f>
        <v>0.45374999999999999</v>
      </c>
      <c r="Q321" s="13">
        <f t="shared" si="21"/>
        <v>0.90749999999999997</v>
      </c>
      <c r="R321" t="str">
        <f t="shared" si="23"/>
        <v>Execelsa</v>
      </c>
      <c r="S321" t="str">
        <f t="shared" si="24"/>
        <v>Medium</v>
      </c>
      <c r="T321" t="str">
        <f>_xlfn.XLOOKUP(Orders[[#This Row],[Customer ID]],customers!$A$1:$A$1001,customers!$I$1:$I$1001,,0)</f>
        <v>Yes</v>
      </c>
    </row>
    <row r="322" spans="1:20" x14ac:dyDescent="0.35">
      <c r="A322" s="2" t="s">
        <v>2291</v>
      </c>
      <c r="B322" s="3">
        <v>43676</v>
      </c>
      <c r="C322" s="2" t="s">
        <v>2292</v>
      </c>
      <c r="D322" t="s">
        <v>6167</v>
      </c>
      <c r="E322" t="str">
        <f t="shared" si="22"/>
        <v>Arabica-Light-0.2</v>
      </c>
      <c r="F322" s="2">
        <v>5</v>
      </c>
      <c r="G322" s="2" t="str" cm="1">
        <f t="array" ref="G322">_xlfn.XLOOKUP(C322, customers!$A$1:A1321,customers!$B$1:B1321,,0)</f>
        <v>Gabie Tweed</v>
      </c>
      <c r="H322" s="2" t="str" cm="1">
        <f t="array" ref="H322">IF(_xlfn.XLOOKUP(C322,customers!$A$1:A1321,customers!$C$1:C1321,,0) = 0,"", _xlfn.XLOOKUP(C322,customers!$A$1:A1321,customers!$C$1:C1321,,0))</f>
        <v>gtweed8v@yolasite.com</v>
      </c>
      <c r="I322" s="2" t="str">
        <f>_xlfn.XLOOKUP(C322,customers!$A$1:$A$1001,customers!$G$1:$G$1001,,0)</f>
        <v>United States</v>
      </c>
      <c r="J322" s="2" t="str">
        <f>_xlfn.XLOOKUP(Orders[[#This Row],[Customer ID]],customers!$A$1:$A$1001,customers!$F$1:$F$1001,,0)</f>
        <v>Fresno</v>
      </c>
      <c r="K322" t="str">
        <f>INDEX(products!$A$1:$G$49,MATCH(orders!$D322,products!$A$1:$A$49,0),MATCH(orders!K$1,products!$A$1:$G$1,0))</f>
        <v>Ara</v>
      </c>
      <c r="L322" t="str">
        <f>INDEX(products!$A$1:$G$49,MATCH(orders!$D322,products!$A$1:$A$49,0),MATCH(orders!L$1,products!$A$1:$G$1,0))</f>
        <v>L</v>
      </c>
      <c r="M322" s="14">
        <f>INDEX(products!$A$1:$G$49,MATCH(orders!$D322,products!$A$1:$A$49,0),MATCH(orders!M$1,products!$A$1:$G$1,0))</f>
        <v>0.2</v>
      </c>
      <c r="N322" s="4">
        <f>INDEX(products!$A$1:$G$49,MATCH(orders!$D322,products!$A$1:$A$49,0),MATCH(orders!N$1,products!$A$1:$G$1,0))</f>
        <v>3.8849999999999998</v>
      </c>
      <c r="O322" s="13">
        <f t="shared" ref="O322:O385" si="25">N322*F322</f>
        <v>19.424999999999997</v>
      </c>
      <c r="P322" s="13">
        <f>_xlfn.XLOOKUP(Orders[[#This Row],[Product ID]],products!$A$1:$A$49,products!$G$1:$G$49,,0)</f>
        <v>0.34964999999999996</v>
      </c>
      <c r="Q322" s="13">
        <f t="shared" ref="Q322:Q385" si="26">P322*F322</f>
        <v>1.7482499999999999</v>
      </c>
      <c r="R322" t="str">
        <f t="shared" si="23"/>
        <v>Arabica</v>
      </c>
      <c r="S322" t="str">
        <f t="shared" si="24"/>
        <v>Light</v>
      </c>
      <c r="T322" t="str">
        <f>_xlfn.XLOOKUP(Orders[[#This Row],[Customer ID]],customers!$A$1:$A$1001,customers!$I$1:$I$1001,,0)</f>
        <v>Yes</v>
      </c>
    </row>
    <row r="323" spans="1:20" x14ac:dyDescent="0.35">
      <c r="A323" s="2" t="s">
        <v>2301</v>
      </c>
      <c r="B323" s="3">
        <v>44170</v>
      </c>
      <c r="C323" s="2" t="s">
        <v>2302</v>
      </c>
      <c r="D323" t="s">
        <v>6152</v>
      </c>
      <c r="E323" t="str">
        <f t="shared" ref="E323:E386" si="27">IF(LEFT(D323,1)="R", "Robusta",
    IF(LEFT(D323,1)="A", "Arabica",
        IF(LEFT(D323,1)="E", "Excelsa",
            IF(LEFT(D323,1)="L", "Liberica", "")
        )
    )
) &amp; "-" &amp;
IF(MID(D323,3,1)="D", "Dark",
    IF(MID(D323,3,1)="M", "Medium",
        IF(MID(D323,3,1)="L", "Light", "")
    )
) &amp; "-" &amp;
MID(D323,5,LEN(D323)-4)</f>
        <v>Arabica-Medium-0.2</v>
      </c>
      <c r="F323" s="2">
        <v>6</v>
      </c>
      <c r="G323" s="2" t="str" cm="1">
        <f t="array" ref="G323">_xlfn.XLOOKUP(C323, customers!$A$1:A1322,customers!$B$1:B1322,,0)</f>
        <v>Gaile Goggin</v>
      </c>
      <c r="H323" s="2" t="str" cm="1">
        <f t="array" ref="H323">IF(_xlfn.XLOOKUP(C323,customers!$A$1:A1322,customers!$C$1:C1322,,0) = 0,"", _xlfn.XLOOKUP(C323,customers!$A$1:A1322,customers!$C$1:C1322,,0))</f>
        <v>ggoggin8x@wix.com</v>
      </c>
      <c r="I323" s="2" t="str">
        <f>_xlfn.XLOOKUP(C323,customers!$A$1:$A$1001,customers!$G$1:$G$1001,,0)</f>
        <v>Ireland</v>
      </c>
      <c r="J323" s="2" t="str">
        <f>_xlfn.XLOOKUP(Orders[[#This Row],[Customer ID]],customers!$A$1:$A$1001,customers!$F$1:$F$1001,,0)</f>
        <v>Sandyford</v>
      </c>
      <c r="K323" t="str">
        <f>INDEX(products!$A$1:$G$49,MATCH(orders!$D323,products!$A$1:$A$49,0),MATCH(orders!K$1,products!$A$1:$G$1,0))</f>
        <v>Ara</v>
      </c>
      <c r="L323" t="str">
        <f>INDEX(products!$A$1:$G$49,MATCH(orders!$D323,products!$A$1:$A$49,0),MATCH(orders!L$1,products!$A$1:$G$1,0))</f>
        <v>M</v>
      </c>
      <c r="M323" s="14">
        <f>INDEX(products!$A$1:$G$49,MATCH(orders!$D323,products!$A$1:$A$49,0),MATCH(orders!M$1,products!$A$1:$G$1,0))</f>
        <v>0.2</v>
      </c>
      <c r="N323" s="4">
        <f>INDEX(products!$A$1:$G$49,MATCH(orders!$D323,products!$A$1:$A$49,0),MATCH(orders!N$1,products!$A$1:$G$1,0))</f>
        <v>3.375</v>
      </c>
      <c r="O323" s="13">
        <f t="shared" si="25"/>
        <v>20.25</v>
      </c>
      <c r="P323" s="13">
        <f>_xlfn.XLOOKUP(Orders[[#This Row],[Product ID]],products!$A$1:$A$49,products!$G$1:$G$49,,0)</f>
        <v>0.30374999999999996</v>
      </c>
      <c r="Q323" s="13">
        <f t="shared" si="26"/>
        <v>1.8224999999999998</v>
      </c>
      <c r="R323" t="str">
        <f t="shared" ref="R323:R386" si="28">IF(K323="Rob","Robusta",IF(K323="Exc","Execelsa",IF(K323="Ara","Arabica",IF(K323="Lib","Liberica",""))))</f>
        <v>Arabica</v>
      </c>
      <c r="S323" t="str">
        <f t="shared" ref="S323:S386" si="29" xml:space="preserve"> IF(L323="M", "Medium", IF(L323="L","Light",IF(L323="D","Dark","")))</f>
        <v>Medium</v>
      </c>
      <c r="T323" t="str">
        <f>_xlfn.XLOOKUP(Orders[[#This Row],[Customer ID]],customers!$A$1:$A$1001,customers!$I$1:$I$1001,,0)</f>
        <v>Yes</v>
      </c>
    </row>
    <row r="324" spans="1:20" x14ac:dyDescent="0.35">
      <c r="A324" s="2" t="s">
        <v>2307</v>
      </c>
      <c r="B324" s="3">
        <v>44182</v>
      </c>
      <c r="C324" s="2" t="s">
        <v>2308</v>
      </c>
      <c r="D324" t="s">
        <v>6169</v>
      </c>
      <c r="E324" t="str">
        <f t="shared" si="27"/>
        <v>Liberica-Dark-0.5</v>
      </c>
      <c r="F324" s="2">
        <v>3</v>
      </c>
      <c r="G324" s="2" t="str" cm="1">
        <f t="array" ref="G324">_xlfn.XLOOKUP(C324, customers!$A$1:A1323,customers!$B$1:B1323,,0)</f>
        <v>Skylar Jeyness</v>
      </c>
      <c r="H324" s="2" t="str" cm="1">
        <f t="array" ref="H324">IF(_xlfn.XLOOKUP(C324,customers!$A$1:A1323,customers!$C$1:C1323,,0) = 0,"", _xlfn.XLOOKUP(C324,customers!$A$1:A1323,customers!$C$1:C1323,,0))</f>
        <v>sjeyness8y@biglobe.ne.jp</v>
      </c>
      <c r="I324" s="2" t="str">
        <f>_xlfn.XLOOKUP(C324,customers!$A$1:$A$1001,customers!$G$1:$G$1001,,0)</f>
        <v>Ireland</v>
      </c>
      <c r="J324" s="2" t="str">
        <f>_xlfn.XLOOKUP(Orders[[#This Row],[Customer ID]],customers!$A$1:$A$1001,customers!$F$1:$F$1001,,0)</f>
        <v>Dublin</v>
      </c>
      <c r="K324" t="str">
        <f>INDEX(products!$A$1:$G$49,MATCH(orders!$D324,products!$A$1:$A$49,0),MATCH(orders!K$1,products!$A$1:$G$1,0))</f>
        <v>Lib</v>
      </c>
      <c r="L324" t="str">
        <f>INDEX(products!$A$1:$G$49,MATCH(orders!$D324,products!$A$1:$A$49,0),MATCH(orders!L$1,products!$A$1:$G$1,0))</f>
        <v>D</v>
      </c>
      <c r="M324" s="14">
        <f>INDEX(products!$A$1:$G$49,MATCH(orders!$D324,products!$A$1:$A$49,0),MATCH(orders!M$1,products!$A$1:$G$1,0))</f>
        <v>0.5</v>
      </c>
      <c r="N324" s="4">
        <f>INDEX(products!$A$1:$G$49,MATCH(orders!$D324,products!$A$1:$A$49,0),MATCH(orders!N$1,products!$A$1:$G$1,0))</f>
        <v>7.77</v>
      </c>
      <c r="O324" s="13">
        <f t="shared" si="25"/>
        <v>23.31</v>
      </c>
      <c r="P324" s="13">
        <f>_xlfn.XLOOKUP(Orders[[#This Row],[Product ID]],products!$A$1:$A$49,products!$G$1:$G$49,,0)</f>
        <v>1.0101</v>
      </c>
      <c r="Q324" s="13">
        <f t="shared" si="26"/>
        <v>3.0303</v>
      </c>
      <c r="R324" t="str">
        <f t="shared" si="28"/>
        <v>Liberica</v>
      </c>
      <c r="S324" t="str">
        <f t="shared" si="29"/>
        <v>Dark</v>
      </c>
      <c r="T324" t="str">
        <f>_xlfn.XLOOKUP(Orders[[#This Row],[Customer ID]],customers!$A$1:$A$1001,customers!$I$1:$I$1001,,0)</f>
        <v>No</v>
      </c>
    </row>
    <row r="325" spans="1:20" x14ac:dyDescent="0.35">
      <c r="A325" s="2" t="s">
        <v>2313</v>
      </c>
      <c r="B325" s="3">
        <v>44373</v>
      </c>
      <c r="C325" s="2" t="s">
        <v>2314</v>
      </c>
      <c r="D325" t="s">
        <v>6153</v>
      </c>
      <c r="E325" t="str">
        <f t="shared" si="27"/>
        <v>Excelsa-Dark-0.2</v>
      </c>
      <c r="F325" s="2">
        <v>5</v>
      </c>
      <c r="G325" s="2" t="str" cm="1">
        <f t="array" ref="G325">_xlfn.XLOOKUP(C325, customers!$A$1:A1324,customers!$B$1:B1324,,0)</f>
        <v>Donica Bonhome</v>
      </c>
      <c r="H325" s="2" t="str" cm="1">
        <f t="array" ref="H325">IF(_xlfn.XLOOKUP(C325,customers!$A$1:A1324,customers!$C$1:C1324,,0) = 0,"", _xlfn.XLOOKUP(C325,customers!$A$1:A1324,customers!$C$1:C1324,,0))</f>
        <v>dbonhome8z@shinystat.com</v>
      </c>
      <c r="I325" s="2" t="str">
        <f>_xlfn.XLOOKUP(C325,customers!$A$1:$A$1001,customers!$G$1:$G$1001,,0)</f>
        <v>United States</v>
      </c>
      <c r="J325" s="2" t="str">
        <f>_xlfn.XLOOKUP(Orders[[#This Row],[Customer ID]],customers!$A$1:$A$1001,customers!$F$1:$F$1001,,0)</f>
        <v>Knoxville</v>
      </c>
      <c r="K325" t="str">
        <f>INDEX(products!$A$1:$G$49,MATCH(orders!$D325,products!$A$1:$A$49,0),MATCH(orders!K$1,products!$A$1:$G$1,0))</f>
        <v>Exc</v>
      </c>
      <c r="L325" t="str">
        <f>INDEX(products!$A$1:$G$49,MATCH(orders!$D325,products!$A$1:$A$49,0),MATCH(orders!L$1,products!$A$1:$G$1,0))</f>
        <v>D</v>
      </c>
      <c r="M325" s="14">
        <f>INDEX(products!$A$1:$G$49,MATCH(orders!$D325,products!$A$1:$A$49,0),MATCH(orders!M$1,products!$A$1:$G$1,0))</f>
        <v>0.2</v>
      </c>
      <c r="N325" s="4">
        <f>INDEX(products!$A$1:$G$49,MATCH(orders!$D325,products!$A$1:$A$49,0),MATCH(orders!N$1,products!$A$1:$G$1,0))</f>
        <v>3.645</v>
      </c>
      <c r="O325" s="13">
        <f t="shared" si="25"/>
        <v>18.225000000000001</v>
      </c>
      <c r="P325" s="13">
        <f>_xlfn.XLOOKUP(Orders[[#This Row],[Product ID]],products!$A$1:$A$49,products!$G$1:$G$49,,0)</f>
        <v>0.40095000000000003</v>
      </c>
      <c r="Q325" s="13">
        <f t="shared" si="26"/>
        <v>2.00475</v>
      </c>
      <c r="R325" t="str">
        <f t="shared" si="28"/>
        <v>Execelsa</v>
      </c>
      <c r="S325" t="str">
        <f t="shared" si="29"/>
        <v>Dark</v>
      </c>
      <c r="T325" t="str">
        <f>_xlfn.XLOOKUP(Orders[[#This Row],[Customer ID]],customers!$A$1:$A$1001,customers!$I$1:$I$1001,,0)</f>
        <v>Yes</v>
      </c>
    </row>
    <row r="326" spans="1:20" x14ac:dyDescent="0.35">
      <c r="A326" s="2" t="s">
        <v>2319</v>
      </c>
      <c r="B326" s="3">
        <v>43666</v>
      </c>
      <c r="C326" s="2" t="s">
        <v>2320</v>
      </c>
      <c r="D326" t="s">
        <v>6141</v>
      </c>
      <c r="E326" t="str">
        <f t="shared" si="27"/>
        <v>Excelsa-Medium-1</v>
      </c>
      <c r="F326" s="2">
        <v>1</v>
      </c>
      <c r="G326" s="2" t="str" cm="1">
        <f t="array" ref="G326">_xlfn.XLOOKUP(C326, customers!$A$1:A1325,customers!$B$1:B1325,,0)</f>
        <v>Diena Peetermann</v>
      </c>
      <c r="H326" s="2" t="str" cm="1">
        <f t="array" ref="H326">IF(_xlfn.XLOOKUP(C326,customers!$A$1:A1325,customers!$C$1:C1325,,0) = 0,"", _xlfn.XLOOKUP(C326,customers!$A$1:A1325,customers!$C$1:C1325,,0))</f>
        <v/>
      </c>
      <c r="I326" s="2" t="str">
        <f>_xlfn.XLOOKUP(C326,customers!$A$1:$A$1001,customers!$G$1:$G$1001,,0)</f>
        <v>United States</v>
      </c>
      <c r="J326" s="2" t="str">
        <f>_xlfn.XLOOKUP(Orders[[#This Row],[Customer ID]],customers!$A$1:$A$1001,customers!$F$1:$F$1001,,0)</f>
        <v>Shawnee Mission</v>
      </c>
      <c r="K326" t="str">
        <f>INDEX(products!$A$1:$G$49,MATCH(orders!$D326,products!$A$1:$A$49,0),MATCH(orders!K$1,products!$A$1:$G$1,0))</f>
        <v>Exc</v>
      </c>
      <c r="L326" t="str">
        <f>INDEX(products!$A$1:$G$49,MATCH(orders!$D326,products!$A$1:$A$49,0),MATCH(orders!L$1,products!$A$1:$G$1,0))</f>
        <v>M</v>
      </c>
      <c r="M326" s="14">
        <f>INDEX(products!$A$1:$G$49,MATCH(orders!$D326,products!$A$1:$A$49,0),MATCH(orders!M$1,products!$A$1:$G$1,0))</f>
        <v>1</v>
      </c>
      <c r="N326" s="4">
        <f>INDEX(products!$A$1:$G$49,MATCH(orders!$D326,products!$A$1:$A$49,0),MATCH(orders!N$1,products!$A$1:$G$1,0))</f>
        <v>13.75</v>
      </c>
      <c r="O326" s="13">
        <f t="shared" si="25"/>
        <v>13.75</v>
      </c>
      <c r="P326" s="13">
        <f>_xlfn.XLOOKUP(Orders[[#This Row],[Product ID]],products!$A$1:$A$49,products!$G$1:$G$49,,0)</f>
        <v>1.5125</v>
      </c>
      <c r="Q326" s="13">
        <f t="shared" si="26"/>
        <v>1.5125</v>
      </c>
      <c r="R326" t="str">
        <f t="shared" si="28"/>
        <v>Execelsa</v>
      </c>
      <c r="S326" t="str">
        <f t="shared" si="29"/>
        <v>Medium</v>
      </c>
      <c r="T326" t="str">
        <f>_xlfn.XLOOKUP(Orders[[#This Row],[Customer ID]],customers!$A$1:$A$1001,customers!$I$1:$I$1001,,0)</f>
        <v>No</v>
      </c>
    </row>
    <row r="327" spans="1:20" x14ac:dyDescent="0.35">
      <c r="A327" s="2" t="s">
        <v>2324</v>
      </c>
      <c r="B327" s="3">
        <v>44756</v>
      </c>
      <c r="C327" s="2" t="s">
        <v>2325</v>
      </c>
      <c r="D327" t="s">
        <v>6182</v>
      </c>
      <c r="E327" t="str">
        <f t="shared" si="27"/>
        <v>Arabica-Light-2.5</v>
      </c>
      <c r="F327" s="2">
        <v>1</v>
      </c>
      <c r="G327" s="2" t="str" cm="1">
        <f t="array" ref="G327">_xlfn.XLOOKUP(C327, customers!$A$1:A1326,customers!$B$1:B1326,,0)</f>
        <v>Trina Le Sarr</v>
      </c>
      <c r="H327" s="2" t="str" cm="1">
        <f t="array" ref="H327">IF(_xlfn.XLOOKUP(C327,customers!$A$1:A1326,customers!$C$1:C1326,,0) = 0,"", _xlfn.XLOOKUP(C327,customers!$A$1:A1326,customers!$C$1:C1326,,0))</f>
        <v>tle91@epa.gov</v>
      </c>
      <c r="I327" s="2" t="str">
        <f>_xlfn.XLOOKUP(C327,customers!$A$1:$A$1001,customers!$G$1:$G$1001,,0)</f>
        <v>United States</v>
      </c>
      <c r="J327" s="2" t="str">
        <f>_xlfn.XLOOKUP(Orders[[#This Row],[Customer ID]],customers!$A$1:$A$1001,customers!$F$1:$F$1001,,0)</f>
        <v>San Francisco</v>
      </c>
      <c r="K327" t="str">
        <f>INDEX(products!$A$1:$G$49,MATCH(orders!$D327,products!$A$1:$A$49,0),MATCH(orders!K$1,products!$A$1:$G$1,0))</f>
        <v>Ara</v>
      </c>
      <c r="L327" t="str">
        <f>INDEX(products!$A$1:$G$49,MATCH(orders!$D327,products!$A$1:$A$49,0),MATCH(orders!L$1,products!$A$1:$G$1,0))</f>
        <v>L</v>
      </c>
      <c r="M327" s="14">
        <f>INDEX(products!$A$1:$G$49,MATCH(orders!$D327,products!$A$1:$A$49,0),MATCH(orders!M$1,products!$A$1:$G$1,0))</f>
        <v>2.5</v>
      </c>
      <c r="N327" s="4">
        <f>INDEX(products!$A$1:$G$49,MATCH(orders!$D327,products!$A$1:$A$49,0),MATCH(orders!N$1,products!$A$1:$G$1,0))</f>
        <v>29.784999999999997</v>
      </c>
      <c r="O327" s="13">
        <f t="shared" si="25"/>
        <v>29.784999999999997</v>
      </c>
      <c r="P327" s="13">
        <f>_xlfn.XLOOKUP(Orders[[#This Row],[Product ID]],products!$A$1:$A$49,products!$G$1:$G$49,,0)</f>
        <v>2.6806499999999995</v>
      </c>
      <c r="Q327" s="13">
        <f t="shared" si="26"/>
        <v>2.6806499999999995</v>
      </c>
      <c r="R327" t="str">
        <f t="shared" si="28"/>
        <v>Arabica</v>
      </c>
      <c r="S327" t="str">
        <f t="shared" si="29"/>
        <v>Light</v>
      </c>
      <c r="T327" t="str">
        <f>_xlfn.XLOOKUP(Orders[[#This Row],[Customer ID]],customers!$A$1:$A$1001,customers!$I$1:$I$1001,,0)</f>
        <v>Yes</v>
      </c>
    </row>
    <row r="328" spans="1:20" x14ac:dyDescent="0.35">
      <c r="A328" s="2" t="s">
        <v>2330</v>
      </c>
      <c r="B328" s="3">
        <v>44057</v>
      </c>
      <c r="C328" s="2" t="s">
        <v>2331</v>
      </c>
      <c r="D328" t="s">
        <v>6177</v>
      </c>
      <c r="E328" t="str">
        <f t="shared" si="27"/>
        <v>Robusta-Dark-1</v>
      </c>
      <c r="F328" s="2">
        <v>5</v>
      </c>
      <c r="G328" s="2" t="str" cm="1">
        <f t="array" ref="G328">_xlfn.XLOOKUP(C328, customers!$A$1:A1327,customers!$B$1:B1327,,0)</f>
        <v>Flynn Antony</v>
      </c>
      <c r="H328" s="2" t="str" cm="1">
        <f t="array" ref="H328">IF(_xlfn.XLOOKUP(C328,customers!$A$1:A1327,customers!$C$1:C1327,,0) = 0,"", _xlfn.XLOOKUP(C328,customers!$A$1:A1327,customers!$C$1:C1327,,0))</f>
        <v/>
      </c>
      <c r="I328" s="2" t="str">
        <f>_xlfn.XLOOKUP(C328,customers!$A$1:$A$1001,customers!$G$1:$G$1001,,0)</f>
        <v>United States</v>
      </c>
      <c r="J328" s="2" t="str">
        <f>_xlfn.XLOOKUP(Orders[[#This Row],[Customer ID]],customers!$A$1:$A$1001,customers!$F$1:$F$1001,,0)</f>
        <v>Birmingham</v>
      </c>
      <c r="K328" t="str">
        <f>INDEX(products!$A$1:$G$49,MATCH(orders!$D328,products!$A$1:$A$49,0),MATCH(orders!K$1,products!$A$1:$G$1,0))</f>
        <v>Rob</v>
      </c>
      <c r="L328" t="str">
        <f>INDEX(products!$A$1:$G$49,MATCH(orders!$D328,products!$A$1:$A$49,0),MATCH(orders!L$1,products!$A$1:$G$1,0))</f>
        <v>D</v>
      </c>
      <c r="M328" s="14">
        <f>INDEX(products!$A$1:$G$49,MATCH(orders!$D328,products!$A$1:$A$49,0),MATCH(orders!M$1,products!$A$1:$G$1,0))</f>
        <v>1</v>
      </c>
      <c r="N328" s="4">
        <f>INDEX(products!$A$1:$G$49,MATCH(orders!$D328,products!$A$1:$A$49,0),MATCH(orders!N$1,products!$A$1:$G$1,0))</f>
        <v>8.9499999999999993</v>
      </c>
      <c r="O328" s="13">
        <f t="shared" si="25"/>
        <v>44.75</v>
      </c>
      <c r="P328" s="13">
        <f>_xlfn.XLOOKUP(Orders[[#This Row],[Product ID]],products!$A$1:$A$49,products!$G$1:$G$49,,0)</f>
        <v>0.53699999999999992</v>
      </c>
      <c r="Q328" s="13">
        <f t="shared" si="26"/>
        <v>2.6849999999999996</v>
      </c>
      <c r="R328" t="str">
        <f t="shared" si="28"/>
        <v>Robusta</v>
      </c>
      <c r="S328" t="str">
        <f t="shared" si="29"/>
        <v>Dark</v>
      </c>
      <c r="T328" t="str">
        <f>_xlfn.XLOOKUP(Orders[[#This Row],[Customer ID]],customers!$A$1:$A$1001,customers!$I$1:$I$1001,,0)</f>
        <v>No</v>
      </c>
    </row>
    <row r="329" spans="1:20" x14ac:dyDescent="0.35">
      <c r="A329" s="2" t="s">
        <v>2335</v>
      </c>
      <c r="B329" s="3">
        <v>43579</v>
      </c>
      <c r="C329" s="2" t="s">
        <v>2336</v>
      </c>
      <c r="D329" t="s">
        <v>6177</v>
      </c>
      <c r="E329" t="str">
        <f t="shared" si="27"/>
        <v>Robusta-Dark-1</v>
      </c>
      <c r="F329" s="2">
        <v>5</v>
      </c>
      <c r="G329" s="2" t="str" cm="1">
        <f t="array" ref="G329">_xlfn.XLOOKUP(C329, customers!$A$1:A1328,customers!$B$1:B1328,,0)</f>
        <v>Baudoin Alldridge</v>
      </c>
      <c r="H329" s="2" t="str" cm="1">
        <f t="array" ref="H329">IF(_xlfn.XLOOKUP(C329,customers!$A$1:A1328,customers!$C$1:C1328,,0) = 0,"", _xlfn.XLOOKUP(C329,customers!$A$1:A1328,customers!$C$1:C1328,,0))</f>
        <v>balldridge93@yandex.ru</v>
      </c>
      <c r="I329" s="2" t="str">
        <f>_xlfn.XLOOKUP(C329,customers!$A$1:$A$1001,customers!$G$1:$G$1001,,0)</f>
        <v>United States</v>
      </c>
      <c r="J329" s="2" t="str">
        <f>_xlfn.XLOOKUP(Orders[[#This Row],[Customer ID]],customers!$A$1:$A$1001,customers!$F$1:$F$1001,,0)</f>
        <v>Brooklyn</v>
      </c>
      <c r="K329" t="str">
        <f>INDEX(products!$A$1:$G$49,MATCH(orders!$D329,products!$A$1:$A$49,0),MATCH(orders!K$1,products!$A$1:$G$1,0))</f>
        <v>Rob</v>
      </c>
      <c r="L329" t="str">
        <f>INDEX(products!$A$1:$G$49,MATCH(orders!$D329,products!$A$1:$A$49,0),MATCH(orders!L$1,products!$A$1:$G$1,0))</f>
        <v>D</v>
      </c>
      <c r="M329" s="14">
        <f>INDEX(products!$A$1:$G$49,MATCH(orders!$D329,products!$A$1:$A$49,0),MATCH(orders!M$1,products!$A$1:$G$1,0))</f>
        <v>1</v>
      </c>
      <c r="N329" s="4">
        <f>INDEX(products!$A$1:$G$49,MATCH(orders!$D329,products!$A$1:$A$49,0),MATCH(orders!N$1,products!$A$1:$G$1,0))</f>
        <v>8.9499999999999993</v>
      </c>
      <c r="O329" s="13">
        <f t="shared" si="25"/>
        <v>44.75</v>
      </c>
      <c r="P329" s="13">
        <f>_xlfn.XLOOKUP(Orders[[#This Row],[Product ID]],products!$A$1:$A$49,products!$G$1:$G$49,,0)</f>
        <v>0.53699999999999992</v>
      </c>
      <c r="Q329" s="13">
        <f t="shared" si="26"/>
        <v>2.6849999999999996</v>
      </c>
      <c r="R329" t="str">
        <f t="shared" si="28"/>
        <v>Robusta</v>
      </c>
      <c r="S329" t="str">
        <f t="shared" si="29"/>
        <v>Dark</v>
      </c>
      <c r="T329" t="str">
        <f>_xlfn.XLOOKUP(Orders[[#This Row],[Customer ID]],customers!$A$1:$A$1001,customers!$I$1:$I$1001,,0)</f>
        <v>Yes</v>
      </c>
    </row>
    <row r="330" spans="1:20" x14ac:dyDescent="0.35">
      <c r="A330" s="2" t="s">
        <v>2341</v>
      </c>
      <c r="B330" s="3">
        <v>43620</v>
      </c>
      <c r="C330" s="2" t="s">
        <v>2342</v>
      </c>
      <c r="D330" t="s">
        <v>6161</v>
      </c>
      <c r="E330" t="str">
        <f t="shared" si="27"/>
        <v>Liberica-Light-0.5</v>
      </c>
      <c r="F330" s="2">
        <v>4</v>
      </c>
      <c r="G330" s="2" t="str" cm="1">
        <f t="array" ref="G330">_xlfn.XLOOKUP(C330, customers!$A$1:A1329,customers!$B$1:B1329,,0)</f>
        <v>Homer Dulany</v>
      </c>
      <c r="H330" s="2" t="str" cm="1">
        <f t="array" ref="H330">IF(_xlfn.XLOOKUP(C330,customers!$A$1:A1329,customers!$C$1:C1329,,0) = 0,"", _xlfn.XLOOKUP(C330,customers!$A$1:A1329,customers!$C$1:C1329,,0))</f>
        <v/>
      </c>
      <c r="I330" s="2" t="str">
        <f>_xlfn.XLOOKUP(C330,customers!$A$1:$A$1001,customers!$G$1:$G$1001,,0)</f>
        <v>United States</v>
      </c>
      <c r="J330" s="2" t="str">
        <f>_xlfn.XLOOKUP(Orders[[#This Row],[Customer ID]],customers!$A$1:$A$1001,customers!$F$1:$F$1001,,0)</f>
        <v>El Paso</v>
      </c>
      <c r="K330" t="str">
        <f>INDEX(products!$A$1:$G$49,MATCH(orders!$D330,products!$A$1:$A$49,0),MATCH(orders!K$1,products!$A$1:$G$1,0))</f>
        <v>Lib</v>
      </c>
      <c r="L330" t="str">
        <f>INDEX(products!$A$1:$G$49,MATCH(orders!$D330,products!$A$1:$A$49,0),MATCH(orders!L$1,products!$A$1:$G$1,0))</f>
        <v>L</v>
      </c>
      <c r="M330" s="14">
        <f>INDEX(products!$A$1:$G$49,MATCH(orders!$D330,products!$A$1:$A$49,0),MATCH(orders!M$1,products!$A$1:$G$1,0))</f>
        <v>0.5</v>
      </c>
      <c r="N330" s="4">
        <f>INDEX(products!$A$1:$G$49,MATCH(orders!$D330,products!$A$1:$A$49,0),MATCH(orders!N$1,products!$A$1:$G$1,0))</f>
        <v>9.51</v>
      </c>
      <c r="O330" s="13">
        <f t="shared" si="25"/>
        <v>38.04</v>
      </c>
      <c r="P330" s="13">
        <f>_xlfn.XLOOKUP(Orders[[#This Row],[Product ID]],products!$A$1:$A$49,products!$G$1:$G$49,,0)</f>
        <v>1.2363</v>
      </c>
      <c r="Q330" s="13">
        <f t="shared" si="26"/>
        <v>4.9451999999999998</v>
      </c>
      <c r="R330" t="str">
        <f t="shared" si="28"/>
        <v>Liberica</v>
      </c>
      <c r="S330" t="str">
        <f t="shared" si="29"/>
        <v>Light</v>
      </c>
      <c r="T330" t="str">
        <f>_xlfn.XLOOKUP(Orders[[#This Row],[Customer ID]],customers!$A$1:$A$1001,customers!$I$1:$I$1001,,0)</f>
        <v>Yes</v>
      </c>
    </row>
    <row r="331" spans="1:20" x14ac:dyDescent="0.35">
      <c r="A331" s="2" t="s">
        <v>2346</v>
      </c>
      <c r="B331" s="3">
        <v>44781</v>
      </c>
      <c r="C331" s="2" t="s">
        <v>2347</v>
      </c>
      <c r="D331" t="s">
        <v>6172</v>
      </c>
      <c r="E331" t="str">
        <f t="shared" si="27"/>
        <v>Robusta-Dark-0.5</v>
      </c>
      <c r="F331" s="2">
        <v>4</v>
      </c>
      <c r="G331" s="2" t="str" cm="1">
        <f t="array" ref="G331">_xlfn.XLOOKUP(C331, customers!$A$1:A1330,customers!$B$1:B1330,,0)</f>
        <v>Lisa Goodger</v>
      </c>
      <c r="H331" s="2" t="str" cm="1">
        <f t="array" ref="H331">IF(_xlfn.XLOOKUP(C331,customers!$A$1:A1330,customers!$C$1:C1330,,0) = 0,"", _xlfn.XLOOKUP(C331,customers!$A$1:A1330,customers!$C$1:C1330,,0))</f>
        <v>lgoodger95@guardian.co.uk</v>
      </c>
      <c r="I331" s="2" t="str">
        <f>_xlfn.XLOOKUP(C331,customers!$A$1:$A$1001,customers!$G$1:$G$1001,,0)</f>
        <v>United States</v>
      </c>
      <c r="J331" s="2" t="str">
        <f>_xlfn.XLOOKUP(Orders[[#This Row],[Customer ID]],customers!$A$1:$A$1001,customers!$F$1:$F$1001,,0)</f>
        <v>Sacramento</v>
      </c>
      <c r="K331" t="str">
        <f>INDEX(products!$A$1:$G$49,MATCH(orders!$D331,products!$A$1:$A$49,0),MATCH(orders!K$1,products!$A$1:$G$1,0))</f>
        <v>Rob</v>
      </c>
      <c r="L331" t="str">
        <f>INDEX(products!$A$1:$G$49,MATCH(orders!$D331,products!$A$1:$A$49,0),MATCH(orders!L$1,products!$A$1:$G$1,0))</f>
        <v>D</v>
      </c>
      <c r="M331" s="14">
        <f>INDEX(products!$A$1:$G$49,MATCH(orders!$D331,products!$A$1:$A$49,0),MATCH(orders!M$1,products!$A$1:$G$1,0))</f>
        <v>0.5</v>
      </c>
      <c r="N331" s="4">
        <f>INDEX(products!$A$1:$G$49,MATCH(orders!$D331,products!$A$1:$A$49,0),MATCH(orders!N$1,products!$A$1:$G$1,0))</f>
        <v>5.3699999999999992</v>
      </c>
      <c r="O331" s="13">
        <f t="shared" si="25"/>
        <v>21.479999999999997</v>
      </c>
      <c r="P331" s="13">
        <f>_xlfn.XLOOKUP(Orders[[#This Row],[Product ID]],products!$A$1:$A$49,products!$G$1:$G$49,,0)</f>
        <v>0.32219999999999993</v>
      </c>
      <c r="Q331" s="13">
        <f t="shared" si="26"/>
        <v>1.2887999999999997</v>
      </c>
      <c r="R331" t="str">
        <f t="shared" si="28"/>
        <v>Robusta</v>
      </c>
      <c r="S331" t="str">
        <f t="shared" si="29"/>
        <v>Dark</v>
      </c>
      <c r="T331" t="str">
        <f>_xlfn.XLOOKUP(Orders[[#This Row],[Customer ID]],customers!$A$1:$A$1001,customers!$I$1:$I$1001,,0)</f>
        <v>Yes</v>
      </c>
    </row>
    <row r="332" spans="1:20" x14ac:dyDescent="0.35">
      <c r="A332" s="2" t="s">
        <v>2351</v>
      </c>
      <c r="B332" s="3">
        <v>43782</v>
      </c>
      <c r="C332" s="2" t="s">
        <v>2280</v>
      </c>
      <c r="D332" t="s">
        <v>6172</v>
      </c>
      <c r="E332" t="str">
        <f t="shared" si="27"/>
        <v>Robusta-Dark-0.5</v>
      </c>
      <c r="F332" s="2">
        <v>3</v>
      </c>
      <c r="G332" s="2" t="str" cm="1">
        <f t="array" ref="G332">_xlfn.XLOOKUP(C332, customers!$A$1:A1331,customers!$B$1:B1331,,0)</f>
        <v>Selma McMillian</v>
      </c>
      <c r="H332" s="2" t="str" cm="1">
        <f t="array" ref="H332">IF(_xlfn.XLOOKUP(C332,customers!$A$1:A1331,customers!$C$1:C1331,,0) = 0,"", _xlfn.XLOOKUP(C332,customers!$A$1:A1331,customers!$C$1:C1331,,0))</f>
        <v>smcmillian8t@csmonitor.com</v>
      </c>
      <c r="I332" s="2" t="str">
        <f>_xlfn.XLOOKUP(C332,customers!$A$1:$A$1001,customers!$G$1:$G$1001,,0)</f>
        <v>United States</v>
      </c>
      <c r="J332" s="2" t="str">
        <f>_xlfn.XLOOKUP(Orders[[#This Row],[Customer ID]],customers!$A$1:$A$1001,customers!$F$1:$F$1001,,0)</f>
        <v>Akron</v>
      </c>
      <c r="K332" t="str">
        <f>INDEX(products!$A$1:$G$49,MATCH(orders!$D332,products!$A$1:$A$49,0),MATCH(orders!K$1,products!$A$1:$G$1,0))</f>
        <v>Rob</v>
      </c>
      <c r="L332" t="str">
        <f>INDEX(products!$A$1:$G$49,MATCH(orders!$D332,products!$A$1:$A$49,0),MATCH(orders!L$1,products!$A$1:$G$1,0))</f>
        <v>D</v>
      </c>
      <c r="M332" s="14">
        <f>INDEX(products!$A$1:$G$49,MATCH(orders!$D332,products!$A$1:$A$49,0),MATCH(orders!M$1,products!$A$1:$G$1,0))</f>
        <v>0.5</v>
      </c>
      <c r="N332" s="4">
        <f>INDEX(products!$A$1:$G$49,MATCH(orders!$D332,products!$A$1:$A$49,0),MATCH(orders!N$1,products!$A$1:$G$1,0))</f>
        <v>5.3699999999999992</v>
      </c>
      <c r="O332" s="13">
        <f t="shared" si="25"/>
        <v>16.11</v>
      </c>
      <c r="P332" s="13">
        <f>_xlfn.XLOOKUP(Orders[[#This Row],[Product ID]],products!$A$1:$A$49,products!$G$1:$G$49,,0)</f>
        <v>0.32219999999999993</v>
      </c>
      <c r="Q332" s="13">
        <f t="shared" si="26"/>
        <v>0.96659999999999979</v>
      </c>
      <c r="R332" t="str">
        <f t="shared" si="28"/>
        <v>Robusta</v>
      </c>
      <c r="S332" t="str">
        <f t="shared" si="29"/>
        <v>Dark</v>
      </c>
      <c r="T332" t="str">
        <f>_xlfn.XLOOKUP(Orders[[#This Row],[Customer ID]],customers!$A$1:$A$1001,customers!$I$1:$I$1001,,0)</f>
        <v>No</v>
      </c>
    </row>
    <row r="333" spans="1:20" x14ac:dyDescent="0.35">
      <c r="A333" s="2" t="s">
        <v>2357</v>
      </c>
      <c r="B333" s="3">
        <v>43989</v>
      </c>
      <c r="C333" s="2" t="s">
        <v>2358</v>
      </c>
      <c r="D333" t="s">
        <v>6151</v>
      </c>
      <c r="E333" t="str">
        <f t="shared" si="27"/>
        <v>Robusta-Medium-2.5</v>
      </c>
      <c r="F333" s="2">
        <v>1</v>
      </c>
      <c r="G333" s="2" t="str" cm="1">
        <f t="array" ref="G333">_xlfn.XLOOKUP(C333, customers!$A$1:A1332,customers!$B$1:B1332,,0)</f>
        <v>Corine Drewett</v>
      </c>
      <c r="H333" s="2" t="str" cm="1">
        <f t="array" ref="H333">IF(_xlfn.XLOOKUP(C333,customers!$A$1:A1332,customers!$C$1:C1332,,0) = 0,"", _xlfn.XLOOKUP(C333,customers!$A$1:A1332,customers!$C$1:C1332,,0))</f>
        <v>cdrewett97@wikipedia.org</v>
      </c>
      <c r="I333" s="2" t="str">
        <f>_xlfn.XLOOKUP(C333,customers!$A$1:$A$1001,customers!$G$1:$G$1001,,0)</f>
        <v>United States</v>
      </c>
      <c r="J333" s="2" t="str">
        <f>_xlfn.XLOOKUP(Orders[[#This Row],[Customer ID]],customers!$A$1:$A$1001,customers!$F$1:$F$1001,,0)</f>
        <v>Boynton Beach</v>
      </c>
      <c r="K333" t="str">
        <f>INDEX(products!$A$1:$G$49,MATCH(orders!$D333,products!$A$1:$A$49,0),MATCH(orders!K$1,products!$A$1:$G$1,0))</f>
        <v>Rob</v>
      </c>
      <c r="L333" t="str">
        <f>INDEX(products!$A$1:$G$49,MATCH(orders!$D333,products!$A$1:$A$49,0),MATCH(orders!L$1,products!$A$1:$G$1,0))</f>
        <v>M</v>
      </c>
      <c r="M333" s="14">
        <f>INDEX(products!$A$1:$G$49,MATCH(orders!$D333,products!$A$1:$A$49,0),MATCH(orders!M$1,products!$A$1:$G$1,0))</f>
        <v>2.5</v>
      </c>
      <c r="N333" s="4">
        <f>INDEX(products!$A$1:$G$49,MATCH(orders!$D333,products!$A$1:$A$49,0),MATCH(orders!N$1,products!$A$1:$G$1,0))</f>
        <v>22.884999999999998</v>
      </c>
      <c r="O333" s="13">
        <f t="shared" si="25"/>
        <v>22.884999999999998</v>
      </c>
      <c r="P333" s="13">
        <f>_xlfn.XLOOKUP(Orders[[#This Row],[Product ID]],products!$A$1:$A$49,products!$G$1:$G$49,,0)</f>
        <v>1.3730999999999998</v>
      </c>
      <c r="Q333" s="13">
        <f t="shared" si="26"/>
        <v>1.3730999999999998</v>
      </c>
      <c r="R333" t="str">
        <f t="shared" si="28"/>
        <v>Robusta</v>
      </c>
      <c r="S333" t="str">
        <f t="shared" si="29"/>
        <v>Medium</v>
      </c>
      <c r="T333" t="str">
        <f>_xlfn.XLOOKUP(Orders[[#This Row],[Customer ID]],customers!$A$1:$A$1001,customers!$I$1:$I$1001,,0)</f>
        <v>Yes</v>
      </c>
    </row>
    <row r="334" spans="1:20" x14ac:dyDescent="0.35">
      <c r="A334" s="2" t="s">
        <v>2363</v>
      </c>
      <c r="B334" s="3">
        <v>43689</v>
      </c>
      <c r="C334" s="2" t="s">
        <v>2364</v>
      </c>
      <c r="D334" t="s">
        <v>6158</v>
      </c>
      <c r="E334" t="str">
        <f t="shared" si="27"/>
        <v>Arabica-Dark-0.5</v>
      </c>
      <c r="F334" s="2">
        <v>3</v>
      </c>
      <c r="G334" s="2" t="str" cm="1">
        <f t="array" ref="G334">_xlfn.XLOOKUP(C334, customers!$A$1:A1333,customers!$B$1:B1333,,0)</f>
        <v>Quinn Parsons</v>
      </c>
      <c r="H334" s="2" t="str" cm="1">
        <f t="array" ref="H334">IF(_xlfn.XLOOKUP(C334,customers!$A$1:A1333,customers!$C$1:C1333,,0) = 0,"", _xlfn.XLOOKUP(C334,customers!$A$1:A1333,customers!$C$1:C1333,,0))</f>
        <v>qparsons98@blogtalkradio.com</v>
      </c>
      <c r="I334" s="2" t="str">
        <f>_xlfn.XLOOKUP(C334,customers!$A$1:$A$1001,customers!$G$1:$G$1001,,0)</f>
        <v>United States</v>
      </c>
      <c r="J334" s="2" t="str">
        <f>_xlfn.XLOOKUP(Orders[[#This Row],[Customer ID]],customers!$A$1:$A$1001,customers!$F$1:$F$1001,,0)</f>
        <v>Los Angeles</v>
      </c>
      <c r="K334" t="str">
        <f>INDEX(products!$A$1:$G$49,MATCH(orders!$D334,products!$A$1:$A$49,0),MATCH(orders!K$1,products!$A$1:$G$1,0))</f>
        <v>Ara</v>
      </c>
      <c r="L334" t="str">
        <f>INDEX(products!$A$1:$G$49,MATCH(orders!$D334,products!$A$1:$A$49,0),MATCH(orders!L$1,products!$A$1:$G$1,0))</f>
        <v>D</v>
      </c>
      <c r="M334" s="14">
        <f>INDEX(products!$A$1:$G$49,MATCH(orders!$D334,products!$A$1:$A$49,0),MATCH(orders!M$1,products!$A$1:$G$1,0))</f>
        <v>0.5</v>
      </c>
      <c r="N334" s="4">
        <f>INDEX(products!$A$1:$G$49,MATCH(orders!$D334,products!$A$1:$A$49,0),MATCH(orders!N$1,products!$A$1:$G$1,0))</f>
        <v>5.97</v>
      </c>
      <c r="O334" s="13">
        <f t="shared" si="25"/>
        <v>17.91</v>
      </c>
      <c r="P334" s="13">
        <f>_xlfn.XLOOKUP(Orders[[#This Row],[Product ID]],products!$A$1:$A$49,products!$G$1:$G$49,,0)</f>
        <v>0.5373</v>
      </c>
      <c r="Q334" s="13">
        <f t="shared" si="26"/>
        <v>1.6118999999999999</v>
      </c>
      <c r="R334" t="str">
        <f t="shared" si="28"/>
        <v>Arabica</v>
      </c>
      <c r="S334" t="str">
        <f t="shared" si="29"/>
        <v>Dark</v>
      </c>
      <c r="T334" t="str">
        <f>_xlfn.XLOOKUP(Orders[[#This Row],[Customer ID]],customers!$A$1:$A$1001,customers!$I$1:$I$1001,,0)</f>
        <v>Yes</v>
      </c>
    </row>
    <row r="335" spans="1:20" x14ac:dyDescent="0.35">
      <c r="A335" s="2" t="s">
        <v>2369</v>
      </c>
      <c r="B335" s="3">
        <v>43712</v>
      </c>
      <c r="C335" s="2" t="s">
        <v>2370</v>
      </c>
      <c r="D335" t="s">
        <v>6146</v>
      </c>
      <c r="E335" t="str">
        <f t="shared" si="27"/>
        <v>Robusta-Medium-0.5</v>
      </c>
      <c r="F335" s="2">
        <v>4</v>
      </c>
      <c r="G335" s="2" t="str" cm="1">
        <f t="array" ref="G335">_xlfn.XLOOKUP(C335, customers!$A$1:A1334,customers!$B$1:B1334,,0)</f>
        <v>Vivyan Ceely</v>
      </c>
      <c r="H335" s="2" t="str" cm="1">
        <f t="array" ref="H335">IF(_xlfn.XLOOKUP(C335,customers!$A$1:A1334,customers!$C$1:C1334,,0) = 0,"", _xlfn.XLOOKUP(C335,customers!$A$1:A1334,customers!$C$1:C1334,,0))</f>
        <v>vceely99@auda.org.au</v>
      </c>
      <c r="I335" s="2" t="str">
        <f>_xlfn.XLOOKUP(C335,customers!$A$1:$A$1001,customers!$G$1:$G$1001,,0)</f>
        <v>United States</v>
      </c>
      <c r="J335" s="2" t="str">
        <f>_xlfn.XLOOKUP(Orders[[#This Row],[Customer ID]],customers!$A$1:$A$1001,customers!$F$1:$F$1001,,0)</f>
        <v>Baltimore</v>
      </c>
      <c r="K335" t="str">
        <f>INDEX(products!$A$1:$G$49,MATCH(orders!$D335,products!$A$1:$A$49,0),MATCH(orders!K$1,products!$A$1:$G$1,0))</f>
        <v>Rob</v>
      </c>
      <c r="L335" t="str">
        <f>INDEX(products!$A$1:$G$49,MATCH(orders!$D335,products!$A$1:$A$49,0),MATCH(orders!L$1,products!$A$1:$G$1,0))</f>
        <v>M</v>
      </c>
      <c r="M335" s="14">
        <f>INDEX(products!$A$1:$G$49,MATCH(orders!$D335,products!$A$1:$A$49,0),MATCH(orders!M$1,products!$A$1:$G$1,0))</f>
        <v>0.5</v>
      </c>
      <c r="N335" s="4">
        <f>INDEX(products!$A$1:$G$49,MATCH(orders!$D335,products!$A$1:$A$49,0),MATCH(orders!N$1,products!$A$1:$G$1,0))</f>
        <v>5.97</v>
      </c>
      <c r="O335" s="13">
        <f t="shared" si="25"/>
        <v>23.88</v>
      </c>
      <c r="P335" s="13">
        <f>_xlfn.XLOOKUP(Orders[[#This Row],[Product ID]],products!$A$1:$A$49,products!$G$1:$G$49,,0)</f>
        <v>0.35819999999999996</v>
      </c>
      <c r="Q335" s="13">
        <f t="shared" si="26"/>
        <v>1.4327999999999999</v>
      </c>
      <c r="R335" t="str">
        <f t="shared" si="28"/>
        <v>Robusta</v>
      </c>
      <c r="S335" t="str">
        <f t="shared" si="29"/>
        <v>Medium</v>
      </c>
      <c r="T335" t="str">
        <f>_xlfn.XLOOKUP(Orders[[#This Row],[Customer ID]],customers!$A$1:$A$1001,customers!$I$1:$I$1001,,0)</f>
        <v>Yes</v>
      </c>
    </row>
    <row r="336" spans="1:20" x14ac:dyDescent="0.35">
      <c r="A336" s="2" t="s">
        <v>2375</v>
      </c>
      <c r="B336" s="3">
        <v>43742</v>
      </c>
      <c r="C336" s="2" t="s">
        <v>2376</v>
      </c>
      <c r="D336" t="s">
        <v>6179</v>
      </c>
      <c r="E336" t="str">
        <f t="shared" si="27"/>
        <v>Robusta-Light-1</v>
      </c>
      <c r="F336" s="2">
        <v>5</v>
      </c>
      <c r="G336" s="2" t="str" cm="1">
        <f t="array" ref="G336">_xlfn.XLOOKUP(C336, customers!$A$1:A1335,customers!$B$1:B1335,,0)</f>
        <v>Elonore Goodings</v>
      </c>
      <c r="H336" s="2" t="str" cm="1">
        <f t="array" ref="H336">IF(_xlfn.XLOOKUP(C336,customers!$A$1:A1335,customers!$C$1:C1335,,0) = 0,"", _xlfn.XLOOKUP(C336,customers!$A$1:A1335,customers!$C$1:C1335,,0))</f>
        <v/>
      </c>
      <c r="I336" s="2" t="str">
        <f>_xlfn.XLOOKUP(C336,customers!$A$1:$A$1001,customers!$G$1:$G$1001,,0)</f>
        <v>United States</v>
      </c>
      <c r="J336" s="2" t="str">
        <f>_xlfn.XLOOKUP(Orders[[#This Row],[Customer ID]],customers!$A$1:$A$1001,customers!$F$1:$F$1001,,0)</f>
        <v>Salt Lake City</v>
      </c>
      <c r="K336" t="str">
        <f>INDEX(products!$A$1:$G$49,MATCH(orders!$D336,products!$A$1:$A$49,0),MATCH(orders!K$1,products!$A$1:$G$1,0))</f>
        <v>Rob</v>
      </c>
      <c r="L336" t="str">
        <f>INDEX(products!$A$1:$G$49,MATCH(orders!$D336,products!$A$1:$A$49,0),MATCH(orders!L$1,products!$A$1:$G$1,0))</f>
        <v>L</v>
      </c>
      <c r="M336" s="14">
        <f>INDEX(products!$A$1:$G$49,MATCH(orders!$D336,products!$A$1:$A$49,0),MATCH(orders!M$1,products!$A$1:$G$1,0))</f>
        <v>1</v>
      </c>
      <c r="N336" s="4">
        <f>INDEX(products!$A$1:$G$49,MATCH(orders!$D336,products!$A$1:$A$49,0),MATCH(orders!N$1,products!$A$1:$G$1,0))</f>
        <v>11.95</v>
      </c>
      <c r="O336" s="13">
        <f t="shared" si="25"/>
        <v>59.75</v>
      </c>
      <c r="P336" s="13">
        <f>_xlfn.XLOOKUP(Orders[[#This Row],[Product ID]],products!$A$1:$A$49,products!$G$1:$G$49,,0)</f>
        <v>0.71699999999999997</v>
      </c>
      <c r="Q336" s="13">
        <f t="shared" si="26"/>
        <v>3.585</v>
      </c>
      <c r="R336" t="str">
        <f t="shared" si="28"/>
        <v>Robusta</v>
      </c>
      <c r="S336" t="str">
        <f t="shared" si="29"/>
        <v>Light</v>
      </c>
      <c r="T336" t="str">
        <f>_xlfn.XLOOKUP(Orders[[#This Row],[Customer ID]],customers!$A$1:$A$1001,customers!$I$1:$I$1001,,0)</f>
        <v>No</v>
      </c>
    </row>
    <row r="337" spans="1:20" x14ac:dyDescent="0.35">
      <c r="A337" s="2" t="s">
        <v>2379</v>
      </c>
      <c r="B337" s="3">
        <v>43885</v>
      </c>
      <c r="C337" s="2" t="s">
        <v>2380</v>
      </c>
      <c r="D337" t="s">
        <v>6145</v>
      </c>
      <c r="E337" t="str">
        <f t="shared" si="27"/>
        <v>Liberica-Light-0.2</v>
      </c>
      <c r="F337" s="2">
        <v>6</v>
      </c>
      <c r="G337" s="2" t="str" cm="1">
        <f t="array" ref="G337">_xlfn.XLOOKUP(C337, customers!$A$1:A1336,customers!$B$1:B1336,,0)</f>
        <v>Clement Vasiliev</v>
      </c>
      <c r="H337" s="2" t="str" cm="1">
        <f t="array" ref="H337">IF(_xlfn.XLOOKUP(C337,customers!$A$1:A1336,customers!$C$1:C1336,,0) = 0,"", _xlfn.XLOOKUP(C337,customers!$A$1:A1336,customers!$C$1:C1336,,0))</f>
        <v>cvasiliev9b@discuz.net</v>
      </c>
      <c r="I337" s="2" t="str">
        <f>_xlfn.XLOOKUP(C337,customers!$A$1:$A$1001,customers!$G$1:$G$1001,,0)</f>
        <v>United States</v>
      </c>
      <c r="J337" s="2" t="str">
        <f>_xlfn.XLOOKUP(Orders[[#This Row],[Customer ID]],customers!$A$1:$A$1001,customers!$F$1:$F$1001,,0)</f>
        <v>Garland</v>
      </c>
      <c r="K337" t="str">
        <f>INDEX(products!$A$1:$G$49,MATCH(orders!$D337,products!$A$1:$A$49,0),MATCH(orders!K$1,products!$A$1:$G$1,0))</f>
        <v>Lib</v>
      </c>
      <c r="L337" t="str">
        <f>INDEX(products!$A$1:$G$49,MATCH(orders!$D337,products!$A$1:$A$49,0),MATCH(orders!L$1,products!$A$1:$G$1,0))</f>
        <v>L</v>
      </c>
      <c r="M337" s="14">
        <f>INDEX(products!$A$1:$G$49,MATCH(orders!$D337,products!$A$1:$A$49,0),MATCH(orders!M$1,products!$A$1:$G$1,0))</f>
        <v>0.2</v>
      </c>
      <c r="N337" s="4">
        <f>INDEX(products!$A$1:$G$49,MATCH(orders!$D337,products!$A$1:$A$49,0),MATCH(orders!N$1,products!$A$1:$G$1,0))</f>
        <v>4.7549999999999999</v>
      </c>
      <c r="O337" s="13">
        <f t="shared" si="25"/>
        <v>28.53</v>
      </c>
      <c r="P337" s="13">
        <f>_xlfn.XLOOKUP(Orders[[#This Row],[Product ID]],products!$A$1:$A$49,products!$G$1:$G$49,,0)</f>
        <v>0.61814999999999998</v>
      </c>
      <c r="Q337" s="13">
        <f t="shared" si="26"/>
        <v>3.7088999999999999</v>
      </c>
      <c r="R337" t="str">
        <f t="shared" si="28"/>
        <v>Liberica</v>
      </c>
      <c r="S337" t="str">
        <f t="shared" si="29"/>
        <v>Light</v>
      </c>
      <c r="T337" t="str">
        <f>_xlfn.XLOOKUP(Orders[[#This Row],[Customer ID]],customers!$A$1:$A$1001,customers!$I$1:$I$1001,,0)</f>
        <v>Yes</v>
      </c>
    </row>
    <row r="338" spans="1:20" x14ac:dyDescent="0.35">
      <c r="A338" s="2" t="s">
        <v>2385</v>
      </c>
      <c r="B338" s="3">
        <v>44434</v>
      </c>
      <c r="C338" s="2" t="s">
        <v>2386</v>
      </c>
      <c r="D338" t="s">
        <v>6155</v>
      </c>
      <c r="E338" t="str">
        <f t="shared" si="27"/>
        <v>Arabica-Medium-1</v>
      </c>
      <c r="F338" s="2">
        <v>4</v>
      </c>
      <c r="G338" s="2" t="str" cm="1">
        <f t="array" ref="G338">_xlfn.XLOOKUP(C338, customers!$A$1:A1337,customers!$B$1:B1337,,0)</f>
        <v>Terencio O'Moylan</v>
      </c>
      <c r="H338" s="2" t="str" cm="1">
        <f t="array" ref="H338">IF(_xlfn.XLOOKUP(C338,customers!$A$1:A1337,customers!$C$1:C1337,,0) = 0,"", _xlfn.XLOOKUP(C338,customers!$A$1:A1337,customers!$C$1:C1337,,0))</f>
        <v>tomoylan9c@liveinternet.ru</v>
      </c>
      <c r="I338" s="2" t="str">
        <f>_xlfn.XLOOKUP(C338,customers!$A$1:$A$1001,customers!$G$1:$G$1001,,0)</f>
        <v>United Kingdom</v>
      </c>
      <c r="J338" s="2" t="str">
        <f>_xlfn.XLOOKUP(Orders[[#This Row],[Customer ID]],customers!$A$1:$A$1001,customers!$F$1:$F$1001,,0)</f>
        <v>Church End</v>
      </c>
      <c r="K338" t="str">
        <f>INDEX(products!$A$1:$G$49,MATCH(orders!$D338,products!$A$1:$A$49,0),MATCH(orders!K$1,products!$A$1:$G$1,0))</f>
        <v>Ara</v>
      </c>
      <c r="L338" t="str">
        <f>INDEX(products!$A$1:$G$49,MATCH(orders!$D338,products!$A$1:$A$49,0),MATCH(orders!L$1,products!$A$1:$G$1,0))</f>
        <v>M</v>
      </c>
      <c r="M338" s="14">
        <f>INDEX(products!$A$1:$G$49,MATCH(orders!$D338,products!$A$1:$A$49,0),MATCH(orders!M$1,products!$A$1:$G$1,0))</f>
        <v>1</v>
      </c>
      <c r="N338" s="4">
        <f>INDEX(products!$A$1:$G$49,MATCH(orders!$D338,products!$A$1:$A$49,0),MATCH(orders!N$1,products!$A$1:$G$1,0))</f>
        <v>11.25</v>
      </c>
      <c r="O338" s="13">
        <f t="shared" si="25"/>
        <v>45</v>
      </c>
      <c r="P338" s="13">
        <f>_xlfn.XLOOKUP(Orders[[#This Row],[Product ID]],products!$A$1:$A$49,products!$G$1:$G$49,,0)</f>
        <v>1.0125</v>
      </c>
      <c r="Q338" s="13">
        <f t="shared" si="26"/>
        <v>4.05</v>
      </c>
      <c r="R338" t="str">
        <f t="shared" si="28"/>
        <v>Arabica</v>
      </c>
      <c r="S338" t="str">
        <f t="shared" si="29"/>
        <v>Medium</v>
      </c>
      <c r="T338" t="str">
        <f>_xlfn.XLOOKUP(Orders[[#This Row],[Customer ID]],customers!$A$1:$A$1001,customers!$I$1:$I$1001,,0)</f>
        <v>No</v>
      </c>
    </row>
    <row r="339" spans="1:20" x14ac:dyDescent="0.35">
      <c r="A339" s="2" t="s">
        <v>2391</v>
      </c>
      <c r="B339" s="3">
        <v>44472</v>
      </c>
      <c r="C339" s="2" t="s">
        <v>2331</v>
      </c>
      <c r="D339" t="s">
        <v>6185</v>
      </c>
      <c r="E339" t="str">
        <f t="shared" si="27"/>
        <v>Excelsa-Dark-2.5</v>
      </c>
      <c r="F339" s="2">
        <v>2</v>
      </c>
      <c r="G339" s="2" t="str" cm="1">
        <f t="array" ref="G339">_xlfn.XLOOKUP(C339, customers!$A$1:A1338,customers!$B$1:B1338,,0)</f>
        <v>Flynn Antony</v>
      </c>
      <c r="H339" s="2" t="str" cm="1">
        <f t="array" ref="H339">IF(_xlfn.XLOOKUP(C339,customers!$A$1:A1338,customers!$C$1:C1338,,0) = 0,"", _xlfn.XLOOKUP(C339,customers!$A$1:A1338,customers!$C$1:C1338,,0))</f>
        <v/>
      </c>
      <c r="I339" s="2" t="str">
        <f>_xlfn.XLOOKUP(C339,customers!$A$1:$A$1001,customers!$G$1:$G$1001,,0)</f>
        <v>United States</v>
      </c>
      <c r="J339" s="2" t="str">
        <f>_xlfn.XLOOKUP(Orders[[#This Row],[Customer ID]],customers!$A$1:$A$1001,customers!$F$1:$F$1001,,0)</f>
        <v>Birmingham</v>
      </c>
      <c r="K339" t="str">
        <f>INDEX(products!$A$1:$G$49,MATCH(orders!$D339,products!$A$1:$A$49,0),MATCH(orders!K$1,products!$A$1:$G$1,0))</f>
        <v>Exc</v>
      </c>
      <c r="L339" t="str">
        <f>INDEX(products!$A$1:$G$49,MATCH(orders!$D339,products!$A$1:$A$49,0),MATCH(orders!L$1,products!$A$1:$G$1,0))</f>
        <v>D</v>
      </c>
      <c r="M339" s="14">
        <f>INDEX(products!$A$1:$G$49,MATCH(orders!$D339,products!$A$1:$A$49,0),MATCH(orders!M$1,products!$A$1:$G$1,0))</f>
        <v>2.5</v>
      </c>
      <c r="N339" s="4">
        <f>INDEX(products!$A$1:$G$49,MATCH(orders!$D339,products!$A$1:$A$49,0),MATCH(orders!N$1,products!$A$1:$G$1,0))</f>
        <v>27.945</v>
      </c>
      <c r="O339" s="13">
        <f t="shared" si="25"/>
        <v>55.89</v>
      </c>
      <c r="P339" s="13">
        <f>_xlfn.XLOOKUP(Orders[[#This Row],[Product ID]],products!$A$1:$A$49,products!$G$1:$G$49,,0)</f>
        <v>3.07395</v>
      </c>
      <c r="Q339" s="13">
        <f t="shared" si="26"/>
        <v>6.1478999999999999</v>
      </c>
      <c r="R339" t="str">
        <f t="shared" si="28"/>
        <v>Execelsa</v>
      </c>
      <c r="S339" t="str">
        <f t="shared" si="29"/>
        <v>Dark</v>
      </c>
      <c r="T339" t="str">
        <f>_xlfn.XLOOKUP(Orders[[#This Row],[Customer ID]],customers!$A$1:$A$1001,customers!$I$1:$I$1001,,0)</f>
        <v>No</v>
      </c>
    </row>
    <row r="340" spans="1:20" x14ac:dyDescent="0.35">
      <c r="A340" s="2" t="s">
        <v>2396</v>
      </c>
      <c r="B340" s="3">
        <v>43995</v>
      </c>
      <c r="C340" s="2" t="s">
        <v>2397</v>
      </c>
      <c r="D340" t="s">
        <v>6171</v>
      </c>
      <c r="E340" t="str">
        <f t="shared" si="27"/>
        <v>Excelsa-Light-1</v>
      </c>
      <c r="F340" s="2">
        <v>4</v>
      </c>
      <c r="G340" s="2" t="str" cm="1">
        <f t="array" ref="G340">_xlfn.XLOOKUP(C340, customers!$A$1:A1339,customers!$B$1:B1339,,0)</f>
        <v>Wyatan Fetherston</v>
      </c>
      <c r="H340" s="2" t="str" cm="1">
        <f t="array" ref="H340">IF(_xlfn.XLOOKUP(C340,customers!$A$1:A1339,customers!$C$1:C1339,,0) = 0,"", _xlfn.XLOOKUP(C340,customers!$A$1:A1339,customers!$C$1:C1339,,0))</f>
        <v>wfetherston9e@constantcontact.com</v>
      </c>
      <c r="I340" s="2" t="str">
        <f>_xlfn.XLOOKUP(C340,customers!$A$1:$A$1001,customers!$G$1:$G$1001,,0)</f>
        <v>United States</v>
      </c>
      <c r="J340" s="2" t="str">
        <f>_xlfn.XLOOKUP(Orders[[#This Row],[Customer ID]],customers!$A$1:$A$1001,customers!$F$1:$F$1001,,0)</f>
        <v>New York City</v>
      </c>
      <c r="K340" t="str">
        <f>INDEX(products!$A$1:$G$49,MATCH(orders!$D340,products!$A$1:$A$49,0),MATCH(orders!K$1,products!$A$1:$G$1,0))</f>
        <v>Exc</v>
      </c>
      <c r="L340" t="str">
        <f>INDEX(products!$A$1:$G$49,MATCH(orders!$D340,products!$A$1:$A$49,0),MATCH(orders!L$1,products!$A$1:$G$1,0))</f>
        <v>L</v>
      </c>
      <c r="M340" s="14">
        <f>INDEX(products!$A$1:$G$49,MATCH(orders!$D340,products!$A$1:$A$49,0),MATCH(orders!M$1,products!$A$1:$G$1,0))</f>
        <v>1</v>
      </c>
      <c r="N340" s="4">
        <f>INDEX(products!$A$1:$G$49,MATCH(orders!$D340,products!$A$1:$A$49,0),MATCH(orders!N$1,products!$A$1:$G$1,0))</f>
        <v>14.85</v>
      </c>
      <c r="O340" s="13">
        <f t="shared" si="25"/>
        <v>59.4</v>
      </c>
      <c r="P340" s="13">
        <f>_xlfn.XLOOKUP(Orders[[#This Row],[Product ID]],products!$A$1:$A$49,products!$G$1:$G$49,,0)</f>
        <v>1.6335</v>
      </c>
      <c r="Q340" s="13">
        <f t="shared" si="26"/>
        <v>6.5339999999999998</v>
      </c>
      <c r="R340" t="str">
        <f t="shared" si="28"/>
        <v>Execelsa</v>
      </c>
      <c r="S340" t="str">
        <f t="shared" si="29"/>
        <v>Light</v>
      </c>
      <c r="T340" t="str">
        <f>_xlfn.XLOOKUP(Orders[[#This Row],[Customer ID]],customers!$A$1:$A$1001,customers!$I$1:$I$1001,,0)</f>
        <v>No</v>
      </c>
    </row>
    <row r="341" spans="1:20" x14ac:dyDescent="0.35">
      <c r="A341" s="2" t="s">
        <v>2402</v>
      </c>
      <c r="B341" s="3">
        <v>44256</v>
      </c>
      <c r="C341" s="2" t="s">
        <v>2403</v>
      </c>
      <c r="D341" t="s">
        <v>6153</v>
      </c>
      <c r="E341" t="str">
        <f t="shared" si="27"/>
        <v>Excelsa-Dark-0.2</v>
      </c>
      <c r="F341" s="2">
        <v>2</v>
      </c>
      <c r="G341" s="2" t="str" cm="1">
        <f t="array" ref="G341">_xlfn.XLOOKUP(C341, customers!$A$1:A1340,customers!$B$1:B1340,,0)</f>
        <v>Emmaline Rasmus</v>
      </c>
      <c r="H341" s="2" t="str" cm="1">
        <f t="array" ref="H341">IF(_xlfn.XLOOKUP(C341,customers!$A$1:A1340,customers!$C$1:C1340,,0) = 0,"", _xlfn.XLOOKUP(C341,customers!$A$1:A1340,customers!$C$1:C1340,,0))</f>
        <v>erasmus9f@techcrunch.com</v>
      </c>
      <c r="I341" s="2" t="str">
        <f>_xlfn.XLOOKUP(C341,customers!$A$1:$A$1001,customers!$G$1:$G$1001,,0)</f>
        <v>United States</v>
      </c>
      <c r="J341" s="2" t="str">
        <f>_xlfn.XLOOKUP(Orders[[#This Row],[Customer ID]],customers!$A$1:$A$1001,customers!$F$1:$F$1001,,0)</f>
        <v>Boston</v>
      </c>
      <c r="K341" t="str">
        <f>INDEX(products!$A$1:$G$49,MATCH(orders!$D341,products!$A$1:$A$49,0),MATCH(orders!K$1,products!$A$1:$G$1,0))</f>
        <v>Exc</v>
      </c>
      <c r="L341" t="str">
        <f>INDEX(products!$A$1:$G$49,MATCH(orders!$D341,products!$A$1:$A$49,0),MATCH(orders!L$1,products!$A$1:$G$1,0))</f>
        <v>D</v>
      </c>
      <c r="M341" s="14">
        <f>INDEX(products!$A$1:$G$49,MATCH(orders!$D341,products!$A$1:$A$49,0),MATCH(orders!M$1,products!$A$1:$G$1,0))</f>
        <v>0.2</v>
      </c>
      <c r="N341" s="4">
        <f>INDEX(products!$A$1:$G$49,MATCH(orders!$D341,products!$A$1:$A$49,0),MATCH(orders!N$1,products!$A$1:$G$1,0))</f>
        <v>3.645</v>
      </c>
      <c r="O341" s="13">
        <f t="shared" si="25"/>
        <v>7.29</v>
      </c>
      <c r="P341" s="13">
        <f>_xlfn.XLOOKUP(Orders[[#This Row],[Product ID]],products!$A$1:$A$49,products!$G$1:$G$49,,0)</f>
        <v>0.40095000000000003</v>
      </c>
      <c r="Q341" s="13">
        <f t="shared" si="26"/>
        <v>0.80190000000000006</v>
      </c>
      <c r="R341" t="str">
        <f t="shared" si="28"/>
        <v>Execelsa</v>
      </c>
      <c r="S341" t="str">
        <f t="shared" si="29"/>
        <v>Dark</v>
      </c>
      <c r="T341" t="str">
        <f>_xlfn.XLOOKUP(Orders[[#This Row],[Customer ID]],customers!$A$1:$A$1001,customers!$I$1:$I$1001,,0)</f>
        <v>Yes</v>
      </c>
    </row>
    <row r="342" spans="1:20" x14ac:dyDescent="0.35">
      <c r="A342" s="2" t="s">
        <v>2408</v>
      </c>
      <c r="B342" s="3">
        <v>43528</v>
      </c>
      <c r="C342" s="2" t="s">
        <v>2409</v>
      </c>
      <c r="D342" t="s">
        <v>6144</v>
      </c>
      <c r="E342" t="str">
        <f t="shared" si="27"/>
        <v>Excelsa-Dark-0.5</v>
      </c>
      <c r="F342" s="2">
        <v>1</v>
      </c>
      <c r="G342" s="2" t="str" cm="1">
        <f t="array" ref="G342">_xlfn.XLOOKUP(C342, customers!$A$1:A1341,customers!$B$1:B1341,,0)</f>
        <v>Wesley Giorgioni</v>
      </c>
      <c r="H342" s="2" t="str" cm="1">
        <f t="array" ref="H342">IF(_xlfn.XLOOKUP(C342,customers!$A$1:A1341,customers!$C$1:C1341,,0) = 0,"", _xlfn.XLOOKUP(C342,customers!$A$1:A1341,customers!$C$1:C1341,,0))</f>
        <v>wgiorgioni9g@wikipedia.org</v>
      </c>
      <c r="I342" s="2" t="str">
        <f>_xlfn.XLOOKUP(C342,customers!$A$1:$A$1001,customers!$G$1:$G$1001,,0)</f>
        <v>United States</v>
      </c>
      <c r="J342" s="2" t="str">
        <f>_xlfn.XLOOKUP(Orders[[#This Row],[Customer ID]],customers!$A$1:$A$1001,customers!$F$1:$F$1001,,0)</f>
        <v>San Francisco</v>
      </c>
      <c r="K342" t="str">
        <f>INDEX(products!$A$1:$G$49,MATCH(orders!$D342,products!$A$1:$A$49,0),MATCH(orders!K$1,products!$A$1:$G$1,0))</f>
        <v>Exc</v>
      </c>
      <c r="L342" t="str">
        <f>INDEX(products!$A$1:$G$49,MATCH(orders!$D342,products!$A$1:$A$49,0),MATCH(orders!L$1,products!$A$1:$G$1,0))</f>
        <v>D</v>
      </c>
      <c r="M342" s="14">
        <f>INDEX(products!$A$1:$G$49,MATCH(orders!$D342,products!$A$1:$A$49,0),MATCH(orders!M$1,products!$A$1:$G$1,0))</f>
        <v>0.5</v>
      </c>
      <c r="N342" s="4">
        <f>INDEX(products!$A$1:$G$49,MATCH(orders!$D342,products!$A$1:$A$49,0),MATCH(orders!N$1,products!$A$1:$G$1,0))</f>
        <v>7.29</v>
      </c>
      <c r="O342" s="13">
        <f t="shared" si="25"/>
        <v>7.29</v>
      </c>
      <c r="P342" s="13">
        <f>_xlfn.XLOOKUP(Orders[[#This Row],[Product ID]],products!$A$1:$A$49,products!$G$1:$G$49,,0)</f>
        <v>0.80190000000000006</v>
      </c>
      <c r="Q342" s="13">
        <f t="shared" si="26"/>
        <v>0.80190000000000006</v>
      </c>
      <c r="R342" t="str">
        <f t="shared" si="28"/>
        <v>Execelsa</v>
      </c>
      <c r="S342" t="str">
        <f t="shared" si="29"/>
        <v>Dark</v>
      </c>
      <c r="T342" t="str">
        <f>_xlfn.XLOOKUP(Orders[[#This Row],[Customer ID]],customers!$A$1:$A$1001,customers!$I$1:$I$1001,,0)</f>
        <v>Yes</v>
      </c>
    </row>
    <row r="343" spans="1:20" x14ac:dyDescent="0.35">
      <c r="A343" s="2" t="s">
        <v>2414</v>
      </c>
      <c r="B343" s="3">
        <v>43751</v>
      </c>
      <c r="C343" s="2" t="s">
        <v>2415</v>
      </c>
      <c r="D343" t="s">
        <v>6176</v>
      </c>
      <c r="E343" t="str">
        <f t="shared" si="27"/>
        <v>Excelsa-Light-0.5</v>
      </c>
      <c r="F343" s="2">
        <v>2</v>
      </c>
      <c r="G343" s="2" t="str" cm="1">
        <f t="array" ref="G343">_xlfn.XLOOKUP(C343, customers!$A$1:A1342,customers!$B$1:B1342,,0)</f>
        <v>Lucienne Scargle</v>
      </c>
      <c r="H343" s="2" t="str" cm="1">
        <f t="array" ref="H343">IF(_xlfn.XLOOKUP(C343,customers!$A$1:A1342,customers!$C$1:C1342,,0) = 0,"", _xlfn.XLOOKUP(C343,customers!$A$1:A1342,customers!$C$1:C1342,,0))</f>
        <v>lscargle9h@myspace.com</v>
      </c>
      <c r="I343" s="2" t="str">
        <f>_xlfn.XLOOKUP(C343,customers!$A$1:$A$1001,customers!$G$1:$G$1001,,0)</f>
        <v>United States</v>
      </c>
      <c r="J343" s="2" t="str">
        <f>_xlfn.XLOOKUP(Orders[[#This Row],[Customer ID]],customers!$A$1:$A$1001,customers!$F$1:$F$1001,,0)</f>
        <v>Indianapolis</v>
      </c>
      <c r="K343" t="str">
        <f>INDEX(products!$A$1:$G$49,MATCH(orders!$D343,products!$A$1:$A$49,0),MATCH(orders!K$1,products!$A$1:$G$1,0))</f>
        <v>Exc</v>
      </c>
      <c r="L343" t="str">
        <f>INDEX(products!$A$1:$G$49,MATCH(orders!$D343,products!$A$1:$A$49,0),MATCH(orders!L$1,products!$A$1:$G$1,0))</f>
        <v>L</v>
      </c>
      <c r="M343" s="14">
        <f>INDEX(products!$A$1:$G$49,MATCH(orders!$D343,products!$A$1:$A$49,0),MATCH(orders!M$1,products!$A$1:$G$1,0))</f>
        <v>0.5</v>
      </c>
      <c r="N343" s="4">
        <f>INDEX(products!$A$1:$G$49,MATCH(orders!$D343,products!$A$1:$A$49,0),MATCH(orders!N$1,products!$A$1:$G$1,0))</f>
        <v>8.91</v>
      </c>
      <c r="O343" s="13">
        <f t="shared" si="25"/>
        <v>17.82</v>
      </c>
      <c r="P343" s="13">
        <f>_xlfn.XLOOKUP(Orders[[#This Row],[Product ID]],products!$A$1:$A$49,products!$G$1:$G$49,,0)</f>
        <v>0.98009999999999997</v>
      </c>
      <c r="Q343" s="13">
        <f t="shared" si="26"/>
        <v>1.9601999999999999</v>
      </c>
      <c r="R343" t="str">
        <f t="shared" si="28"/>
        <v>Execelsa</v>
      </c>
      <c r="S343" t="str">
        <f t="shared" si="29"/>
        <v>Light</v>
      </c>
      <c r="T343" t="str">
        <f>_xlfn.XLOOKUP(Orders[[#This Row],[Customer ID]],customers!$A$1:$A$1001,customers!$I$1:$I$1001,,0)</f>
        <v>No</v>
      </c>
    </row>
    <row r="344" spans="1:20" x14ac:dyDescent="0.35">
      <c r="A344" s="2" t="s">
        <v>2414</v>
      </c>
      <c r="B344" s="3">
        <v>43751</v>
      </c>
      <c r="C344" s="2" t="s">
        <v>2415</v>
      </c>
      <c r="D344" t="s">
        <v>6169</v>
      </c>
      <c r="E344" t="str">
        <f t="shared" si="27"/>
        <v>Liberica-Dark-0.5</v>
      </c>
      <c r="F344" s="2">
        <v>5</v>
      </c>
      <c r="G344" s="2" t="str" cm="1">
        <f t="array" ref="G344">_xlfn.XLOOKUP(C344, customers!$A$1:A1343,customers!$B$1:B1343,,0)</f>
        <v>Lucienne Scargle</v>
      </c>
      <c r="H344" s="2" t="str" cm="1">
        <f t="array" ref="H344">IF(_xlfn.XLOOKUP(C344,customers!$A$1:A1343,customers!$C$1:C1343,,0) = 0,"", _xlfn.XLOOKUP(C344,customers!$A$1:A1343,customers!$C$1:C1343,,0))</f>
        <v>lscargle9h@myspace.com</v>
      </c>
      <c r="I344" s="2" t="str">
        <f>_xlfn.XLOOKUP(C344,customers!$A$1:$A$1001,customers!$G$1:$G$1001,,0)</f>
        <v>United States</v>
      </c>
      <c r="J344" s="2" t="str">
        <f>_xlfn.XLOOKUP(Orders[[#This Row],[Customer ID]],customers!$A$1:$A$1001,customers!$F$1:$F$1001,,0)</f>
        <v>Indianapolis</v>
      </c>
      <c r="K344" t="str">
        <f>INDEX(products!$A$1:$G$49,MATCH(orders!$D344,products!$A$1:$A$49,0),MATCH(orders!K$1,products!$A$1:$G$1,0))</f>
        <v>Lib</v>
      </c>
      <c r="L344" t="str">
        <f>INDEX(products!$A$1:$G$49,MATCH(orders!$D344,products!$A$1:$A$49,0),MATCH(orders!L$1,products!$A$1:$G$1,0))</f>
        <v>D</v>
      </c>
      <c r="M344" s="14">
        <f>INDEX(products!$A$1:$G$49,MATCH(orders!$D344,products!$A$1:$A$49,0),MATCH(orders!M$1,products!$A$1:$G$1,0))</f>
        <v>0.5</v>
      </c>
      <c r="N344" s="4">
        <f>INDEX(products!$A$1:$G$49,MATCH(orders!$D344,products!$A$1:$A$49,0),MATCH(orders!N$1,products!$A$1:$G$1,0))</f>
        <v>7.77</v>
      </c>
      <c r="O344" s="13">
        <f t="shared" si="25"/>
        <v>38.849999999999994</v>
      </c>
      <c r="P344" s="13">
        <f>_xlfn.XLOOKUP(Orders[[#This Row],[Product ID]],products!$A$1:$A$49,products!$G$1:$G$49,,0)</f>
        <v>1.0101</v>
      </c>
      <c r="Q344" s="13">
        <f t="shared" si="26"/>
        <v>5.0504999999999995</v>
      </c>
      <c r="R344" t="str">
        <f t="shared" si="28"/>
        <v>Liberica</v>
      </c>
      <c r="S344" t="str">
        <f t="shared" si="29"/>
        <v>Dark</v>
      </c>
      <c r="T344" t="str">
        <f>_xlfn.XLOOKUP(Orders[[#This Row],[Customer ID]],customers!$A$1:$A$1001,customers!$I$1:$I$1001,,0)</f>
        <v>No</v>
      </c>
    </row>
    <row r="345" spans="1:20" x14ac:dyDescent="0.35">
      <c r="A345" s="2" t="s">
        <v>2424</v>
      </c>
      <c r="B345" s="3">
        <v>43692</v>
      </c>
      <c r="C345" s="2" t="s">
        <v>2425</v>
      </c>
      <c r="D345" t="s">
        <v>6172</v>
      </c>
      <c r="E345" t="str">
        <f t="shared" si="27"/>
        <v>Robusta-Dark-0.5</v>
      </c>
      <c r="F345" s="2">
        <v>6</v>
      </c>
      <c r="G345" s="2" t="str" cm="1">
        <f t="array" ref="G345">_xlfn.XLOOKUP(C345, customers!$A$1:A1344,customers!$B$1:B1344,,0)</f>
        <v>Noam Climance</v>
      </c>
      <c r="H345" s="2" t="str" cm="1">
        <f t="array" ref="H345">IF(_xlfn.XLOOKUP(C345,customers!$A$1:A1344,customers!$C$1:C1344,,0) = 0,"", _xlfn.XLOOKUP(C345,customers!$A$1:A1344,customers!$C$1:C1344,,0))</f>
        <v>nclimance9j@europa.eu</v>
      </c>
      <c r="I345" s="2" t="str">
        <f>_xlfn.XLOOKUP(C345,customers!$A$1:$A$1001,customers!$G$1:$G$1001,,0)</f>
        <v>United States</v>
      </c>
      <c r="J345" s="2" t="str">
        <f>_xlfn.XLOOKUP(Orders[[#This Row],[Customer ID]],customers!$A$1:$A$1001,customers!$F$1:$F$1001,,0)</f>
        <v>Seattle</v>
      </c>
      <c r="K345" t="str">
        <f>INDEX(products!$A$1:$G$49,MATCH(orders!$D345,products!$A$1:$A$49,0),MATCH(orders!K$1,products!$A$1:$G$1,0))</f>
        <v>Rob</v>
      </c>
      <c r="L345" t="str">
        <f>INDEX(products!$A$1:$G$49,MATCH(orders!$D345,products!$A$1:$A$49,0),MATCH(orders!L$1,products!$A$1:$G$1,0))</f>
        <v>D</v>
      </c>
      <c r="M345" s="14">
        <f>INDEX(products!$A$1:$G$49,MATCH(orders!$D345,products!$A$1:$A$49,0),MATCH(orders!M$1,products!$A$1:$G$1,0))</f>
        <v>0.5</v>
      </c>
      <c r="N345" s="4">
        <f>INDEX(products!$A$1:$G$49,MATCH(orders!$D345,products!$A$1:$A$49,0),MATCH(orders!N$1,products!$A$1:$G$1,0))</f>
        <v>5.3699999999999992</v>
      </c>
      <c r="O345" s="13">
        <f t="shared" si="25"/>
        <v>32.22</v>
      </c>
      <c r="P345" s="13">
        <f>_xlfn.XLOOKUP(Orders[[#This Row],[Product ID]],products!$A$1:$A$49,products!$G$1:$G$49,,0)</f>
        <v>0.32219999999999993</v>
      </c>
      <c r="Q345" s="13">
        <f t="shared" si="26"/>
        <v>1.9331999999999996</v>
      </c>
      <c r="R345" t="str">
        <f t="shared" si="28"/>
        <v>Robusta</v>
      </c>
      <c r="S345" t="str">
        <f t="shared" si="29"/>
        <v>Dark</v>
      </c>
      <c r="T345" t="str">
        <f>_xlfn.XLOOKUP(Orders[[#This Row],[Customer ID]],customers!$A$1:$A$1001,customers!$I$1:$I$1001,,0)</f>
        <v>No</v>
      </c>
    </row>
    <row r="346" spans="1:20" x14ac:dyDescent="0.35">
      <c r="A346" s="2" t="s">
        <v>2429</v>
      </c>
      <c r="B346" s="3">
        <v>44529</v>
      </c>
      <c r="C346" s="2" t="s">
        <v>2430</v>
      </c>
      <c r="D346" t="s">
        <v>6138</v>
      </c>
      <c r="E346" t="str">
        <f t="shared" si="27"/>
        <v>Robusta-Medium-1</v>
      </c>
      <c r="F346" s="2">
        <v>2</v>
      </c>
      <c r="G346" s="2" t="str" cm="1">
        <f t="array" ref="G346">_xlfn.XLOOKUP(C346, customers!$A$1:A1345,customers!$B$1:B1345,,0)</f>
        <v>Catarina Donn</v>
      </c>
      <c r="H346" s="2" t="str" cm="1">
        <f t="array" ref="H346">IF(_xlfn.XLOOKUP(C346,customers!$A$1:A1345,customers!$C$1:C1345,,0) = 0,"", _xlfn.XLOOKUP(C346,customers!$A$1:A1345,customers!$C$1:C1345,,0))</f>
        <v/>
      </c>
      <c r="I346" s="2" t="str">
        <f>_xlfn.XLOOKUP(C346,customers!$A$1:$A$1001,customers!$G$1:$G$1001,,0)</f>
        <v>Ireland</v>
      </c>
      <c r="J346" s="2" t="str">
        <f>_xlfn.XLOOKUP(Orders[[#This Row],[Customer ID]],customers!$A$1:$A$1001,customers!$F$1:$F$1001,,0)</f>
        <v>Dunmanway</v>
      </c>
      <c r="K346" t="str">
        <f>INDEX(products!$A$1:$G$49,MATCH(orders!$D346,products!$A$1:$A$49,0),MATCH(orders!K$1,products!$A$1:$G$1,0))</f>
        <v>Rob</v>
      </c>
      <c r="L346" t="str">
        <f>INDEX(products!$A$1:$G$49,MATCH(orders!$D346,products!$A$1:$A$49,0),MATCH(orders!L$1,products!$A$1:$G$1,0))</f>
        <v>M</v>
      </c>
      <c r="M346" s="14">
        <f>INDEX(products!$A$1:$G$49,MATCH(orders!$D346,products!$A$1:$A$49,0),MATCH(orders!M$1,products!$A$1:$G$1,0))</f>
        <v>1</v>
      </c>
      <c r="N346" s="4">
        <f>INDEX(products!$A$1:$G$49,MATCH(orders!$D346,products!$A$1:$A$49,0),MATCH(orders!N$1,products!$A$1:$G$1,0))</f>
        <v>9.9499999999999993</v>
      </c>
      <c r="O346" s="13">
        <f t="shared" si="25"/>
        <v>19.899999999999999</v>
      </c>
      <c r="P346" s="13">
        <f>_xlfn.XLOOKUP(Orders[[#This Row],[Product ID]],products!$A$1:$A$49,products!$G$1:$G$49,,0)</f>
        <v>0.59699999999999998</v>
      </c>
      <c r="Q346" s="13">
        <f t="shared" si="26"/>
        <v>1.194</v>
      </c>
      <c r="R346" t="str">
        <f t="shared" si="28"/>
        <v>Robusta</v>
      </c>
      <c r="S346" t="str">
        <f t="shared" si="29"/>
        <v>Medium</v>
      </c>
      <c r="T346" t="str">
        <f>_xlfn.XLOOKUP(Orders[[#This Row],[Customer ID]],customers!$A$1:$A$1001,customers!$I$1:$I$1001,,0)</f>
        <v>Yes</v>
      </c>
    </row>
    <row r="347" spans="1:20" x14ac:dyDescent="0.35">
      <c r="A347" s="2" t="s">
        <v>2434</v>
      </c>
      <c r="B347" s="3">
        <v>43849</v>
      </c>
      <c r="C347" s="2" t="s">
        <v>2435</v>
      </c>
      <c r="D347" t="s">
        <v>6179</v>
      </c>
      <c r="E347" t="str">
        <f t="shared" si="27"/>
        <v>Robusta-Light-1</v>
      </c>
      <c r="F347" s="2">
        <v>5</v>
      </c>
      <c r="G347" s="2" t="str" cm="1">
        <f t="array" ref="G347">_xlfn.XLOOKUP(C347, customers!$A$1:A1346,customers!$B$1:B1346,,0)</f>
        <v>Ameline Snazle</v>
      </c>
      <c r="H347" s="2" t="str" cm="1">
        <f t="array" ref="H347">IF(_xlfn.XLOOKUP(C347,customers!$A$1:A1346,customers!$C$1:C1346,,0) = 0,"", _xlfn.XLOOKUP(C347,customers!$A$1:A1346,customers!$C$1:C1346,,0))</f>
        <v>asnazle9l@oracle.com</v>
      </c>
      <c r="I347" s="2" t="str">
        <f>_xlfn.XLOOKUP(C347,customers!$A$1:$A$1001,customers!$G$1:$G$1001,,0)</f>
        <v>United States</v>
      </c>
      <c r="J347" s="2" t="str">
        <f>_xlfn.XLOOKUP(Orders[[#This Row],[Customer ID]],customers!$A$1:$A$1001,customers!$F$1:$F$1001,,0)</f>
        <v>Montgomery</v>
      </c>
      <c r="K347" t="str">
        <f>INDEX(products!$A$1:$G$49,MATCH(orders!$D347,products!$A$1:$A$49,0),MATCH(orders!K$1,products!$A$1:$G$1,0))</f>
        <v>Rob</v>
      </c>
      <c r="L347" t="str">
        <f>INDEX(products!$A$1:$G$49,MATCH(orders!$D347,products!$A$1:$A$49,0),MATCH(orders!L$1,products!$A$1:$G$1,0))</f>
        <v>L</v>
      </c>
      <c r="M347" s="14">
        <f>INDEX(products!$A$1:$G$49,MATCH(orders!$D347,products!$A$1:$A$49,0),MATCH(orders!M$1,products!$A$1:$G$1,0))</f>
        <v>1</v>
      </c>
      <c r="N347" s="4">
        <f>INDEX(products!$A$1:$G$49,MATCH(orders!$D347,products!$A$1:$A$49,0),MATCH(orders!N$1,products!$A$1:$G$1,0))</f>
        <v>11.95</v>
      </c>
      <c r="O347" s="13">
        <f t="shared" si="25"/>
        <v>59.75</v>
      </c>
      <c r="P347" s="13">
        <f>_xlfn.XLOOKUP(Orders[[#This Row],[Product ID]],products!$A$1:$A$49,products!$G$1:$G$49,,0)</f>
        <v>0.71699999999999997</v>
      </c>
      <c r="Q347" s="13">
        <f t="shared" si="26"/>
        <v>3.585</v>
      </c>
      <c r="R347" t="str">
        <f t="shared" si="28"/>
        <v>Robusta</v>
      </c>
      <c r="S347" t="str">
        <f t="shared" si="29"/>
        <v>Light</v>
      </c>
      <c r="T347" t="str">
        <f>_xlfn.XLOOKUP(Orders[[#This Row],[Customer ID]],customers!$A$1:$A$1001,customers!$I$1:$I$1001,,0)</f>
        <v>No</v>
      </c>
    </row>
    <row r="348" spans="1:20" x14ac:dyDescent="0.35">
      <c r="A348" s="2" t="s">
        <v>2440</v>
      </c>
      <c r="B348" s="3">
        <v>44344</v>
      </c>
      <c r="C348" s="2" t="s">
        <v>2441</v>
      </c>
      <c r="D348" t="s">
        <v>6180</v>
      </c>
      <c r="E348" t="str">
        <f t="shared" si="27"/>
        <v>Arabica-Light-0.5</v>
      </c>
      <c r="F348" s="2">
        <v>3</v>
      </c>
      <c r="G348" s="2" t="str" cm="1">
        <f t="array" ref="G348">_xlfn.XLOOKUP(C348, customers!$A$1:A1347,customers!$B$1:B1347,,0)</f>
        <v>Rebeka Worg</v>
      </c>
      <c r="H348" s="2" t="str" cm="1">
        <f t="array" ref="H348">IF(_xlfn.XLOOKUP(C348,customers!$A$1:A1347,customers!$C$1:C1347,,0) = 0,"", _xlfn.XLOOKUP(C348,customers!$A$1:A1347,customers!$C$1:C1347,,0))</f>
        <v>rworg9m@arstechnica.com</v>
      </c>
      <c r="I348" s="2" t="str">
        <f>_xlfn.XLOOKUP(C348,customers!$A$1:$A$1001,customers!$G$1:$G$1001,,0)</f>
        <v>United States</v>
      </c>
      <c r="J348" s="2" t="str">
        <f>_xlfn.XLOOKUP(Orders[[#This Row],[Customer ID]],customers!$A$1:$A$1001,customers!$F$1:$F$1001,,0)</f>
        <v>Dallas</v>
      </c>
      <c r="K348" t="str">
        <f>INDEX(products!$A$1:$G$49,MATCH(orders!$D348,products!$A$1:$A$49,0),MATCH(orders!K$1,products!$A$1:$G$1,0))</f>
        <v>Ara</v>
      </c>
      <c r="L348" t="str">
        <f>INDEX(products!$A$1:$G$49,MATCH(orders!$D348,products!$A$1:$A$49,0),MATCH(orders!L$1,products!$A$1:$G$1,0))</f>
        <v>L</v>
      </c>
      <c r="M348" s="14">
        <f>INDEX(products!$A$1:$G$49,MATCH(orders!$D348,products!$A$1:$A$49,0),MATCH(orders!M$1,products!$A$1:$G$1,0))</f>
        <v>0.5</v>
      </c>
      <c r="N348" s="4">
        <f>INDEX(products!$A$1:$G$49,MATCH(orders!$D348,products!$A$1:$A$49,0),MATCH(orders!N$1,products!$A$1:$G$1,0))</f>
        <v>7.77</v>
      </c>
      <c r="O348" s="13">
        <f t="shared" si="25"/>
        <v>23.31</v>
      </c>
      <c r="P348" s="13">
        <f>_xlfn.XLOOKUP(Orders[[#This Row],[Product ID]],products!$A$1:$A$49,products!$G$1:$G$49,,0)</f>
        <v>0.69929999999999992</v>
      </c>
      <c r="Q348" s="13">
        <f t="shared" si="26"/>
        <v>2.0978999999999997</v>
      </c>
      <c r="R348" t="str">
        <f t="shared" si="28"/>
        <v>Arabica</v>
      </c>
      <c r="S348" t="str">
        <f t="shared" si="29"/>
        <v>Light</v>
      </c>
      <c r="T348" t="str">
        <f>_xlfn.XLOOKUP(Orders[[#This Row],[Customer ID]],customers!$A$1:$A$1001,customers!$I$1:$I$1001,,0)</f>
        <v>Yes</v>
      </c>
    </row>
    <row r="349" spans="1:20" x14ac:dyDescent="0.35">
      <c r="A349" s="2" t="s">
        <v>2446</v>
      </c>
      <c r="B349" s="3">
        <v>44576</v>
      </c>
      <c r="C349" s="2" t="s">
        <v>2447</v>
      </c>
      <c r="D349" t="s">
        <v>6162</v>
      </c>
      <c r="E349" t="str">
        <f t="shared" si="27"/>
        <v>Liberica-Medium-1</v>
      </c>
      <c r="F349" s="2">
        <v>3</v>
      </c>
      <c r="G349" s="2" t="str" cm="1">
        <f t="array" ref="G349">_xlfn.XLOOKUP(C349, customers!$A$1:A1348,customers!$B$1:B1348,,0)</f>
        <v>Lewes Danes</v>
      </c>
      <c r="H349" s="2" t="str" cm="1">
        <f t="array" ref="H349">IF(_xlfn.XLOOKUP(C349,customers!$A$1:A1348,customers!$C$1:C1348,,0) = 0,"", _xlfn.XLOOKUP(C349,customers!$A$1:A1348,customers!$C$1:C1348,,0))</f>
        <v>ldanes9n@umn.edu</v>
      </c>
      <c r="I349" s="2" t="str">
        <f>_xlfn.XLOOKUP(C349,customers!$A$1:$A$1001,customers!$G$1:$G$1001,,0)</f>
        <v>United States</v>
      </c>
      <c r="J349" s="2" t="str">
        <f>_xlfn.XLOOKUP(Orders[[#This Row],[Customer ID]],customers!$A$1:$A$1001,customers!$F$1:$F$1001,,0)</f>
        <v>Topeka</v>
      </c>
      <c r="K349" t="str">
        <f>INDEX(products!$A$1:$G$49,MATCH(orders!$D349,products!$A$1:$A$49,0),MATCH(orders!K$1,products!$A$1:$G$1,0))</f>
        <v>Lib</v>
      </c>
      <c r="L349" t="str">
        <f>INDEX(products!$A$1:$G$49,MATCH(orders!$D349,products!$A$1:$A$49,0),MATCH(orders!L$1,products!$A$1:$G$1,0))</f>
        <v>M</v>
      </c>
      <c r="M349" s="14">
        <f>INDEX(products!$A$1:$G$49,MATCH(orders!$D349,products!$A$1:$A$49,0),MATCH(orders!M$1,products!$A$1:$G$1,0))</f>
        <v>1</v>
      </c>
      <c r="N349" s="4">
        <f>INDEX(products!$A$1:$G$49,MATCH(orders!$D349,products!$A$1:$A$49,0),MATCH(orders!N$1,products!$A$1:$G$1,0))</f>
        <v>14.55</v>
      </c>
      <c r="O349" s="13">
        <f t="shared" si="25"/>
        <v>43.650000000000006</v>
      </c>
      <c r="P349" s="13">
        <f>_xlfn.XLOOKUP(Orders[[#This Row],[Product ID]],products!$A$1:$A$49,products!$G$1:$G$49,,0)</f>
        <v>1.8915000000000002</v>
      </c>
      <c r="Q349" s="13">
        <f t="shared" si="26"/>
        <v>5.6745000000000001</v>
      </c>
      <c r="R349" t="str">
        <f t="shared" si="28"/>
        <v>Liberica</v>
      </c>
      <c r="S349" t="str">
        <f t="shared" si="29"/>
        <v>Medium</v>
      </c>
      <c r="T349" t="str">
        <f>_xlfn.XLOOKUP(Orders[[#This Row],[Customer ID]],customers!$A$1:$A$1001,customers!$I$1:$I$1001,,0)</f>
        <v>No</v>
      </c>
    </row>
    <row r="350" spans="1:20" x14ac:dyDescent="0.35">
      <c r="A350" s="2" t="s">
        <v>2452</v>
      </c>
      <c r="B350" s="3">
        <v>43803</v>
      </c>
      <c r="C350" s="2" t="s">
        <v>2453</v>
      </c>
      <c r="D350" t="s">
        <v>6148</v>
      </c>
      <c r="E350" t="str">
        <f t="shared" si="27"/>
        <v>Excelsa-Light-2.5</v>
      </c>
      <c r="F350" s="2">
        <v>6</v>
      </c>
      <c r="G350" s="2" t="str" cm="1">
        <f t="array" ref="G350">_xlfn.XLOOKUP(C350, customers!$A$1:A1349,customers!$B$1:B1349,,0)</f>
        <v>Shelli Keynd</v>
      </c>
      <c r="H350" s="2" t="str" cm="1">
        <f t="array" ref="H350">IF(_xlfn.XLOOKUP(C350,customers!$A$1:A1349,customers!$C$1:C1349,,0) = 0,"", _xlfn.XLOOKUP(C350,customers!$A$1:A1349,customers!$C$1:C1349,,0))</f>
        <v>skeynd9o@narod.ru</v>
      </c>
      <c r="I350" s="2" t="str">
        <f>_xlfn.XLOOKUP(C350,customers!$A$1:$A$1001,customers!$G$1:$G$1001,,0)</f>
        <v>United States</v>
      </c>
      <c r="J350" s="2" t="str">
        <f>_xlfn.XLOOKUP(Orders[[#This Row],[Customer ID]],customers!$A$1:$A$1001,customers!$F$1:$F$1001,,0)</f>
        <v>Tyler</v>
      </c>
      <c r="K350" t="str">
        <f>INDEX(products!$A$1:$G$49,MATCH(orders!$D350,products!$A$1:$A$49,0),MATCH(orders!K$1,products!$A$1:$G$1,0))</f>
        <v>Exc</v>
      </c>
      <c r="L350" t="str">
        <f>INDEX(products!$A$1:$G$49,MATCH(orders!$D350,products!$A$1:$A$49,0),MATCH(orders!L$1,products!$A$1:$G$1,0))</f>
        <v>L</v>
      </c>
      <c r="M350" s="14">
        <f>INDEX(products!$A$1:$G$49,MATCH(orders!$D350,products!$A$1:$A$49,0),MATCH(orders!M$1,products!$A$1:$G$1,0))</f>
        <v>2.5</v>
      </c>
      <c r="N350" s="4">
        <f>INDEX(products!$A$1:$G$49,MATCH(orders!$D350,products!$A$1:$A$49,0),MATCH(orders!N$1,products!$A$1:$G$1,0))</f>
        <v>34.154999999999994</v>
      </c>
      <c r="O350" s="13">
        <f t="shared" si="25"/>
        <v>204.92999999999995</v>
      </c>
      <c r="P350" s="13">
        <f>_xlfn.XLOOKUP(Orders[[#This Row],[Product ID]],products!$A$1:$A$49,products!$G$1:$G$49,,0)</f>
        <v>3.7570499999999996</v>
      </c>
      <c r="Q350" s="13">
        <f t="shared" si="26"/>
        <v>22.542299999999997</v>
      </c>
      <c r="R350" t="str">
        <f t="shared" si="28"/>
        <v>Execelsa</v>
      </c>
      <c r="S350" t="str">
        <f t="shared" si="29"/>
        <v>Light</v>
      </c>
      <c r="T350" t="str">
        <f>_xlfn.XLOOKUP(Orders[[#This Row],[Customer ID]],customers!$A$1:$A$1001,customers!$I$1:$I$1001,,0)</f>
        <v>No</v>
      </c>
    </row>
    <row r="351" spans="1:20" x14ac:dyDescent="0.35">
      <c r="A351" s="2" t="s">
        <v>2458</v>
      </c>
      <c r="B351" s="3">
        <v>44743</v>
      </c>
      <c r="C351" s="2" t="s">
        <v>2459</v>
      </c>
      <c r="D351" t="s">
        <v>6178</v>
      </c>
      <c r="E351" t="str">
        <f t="shared" si="27"/>
        <v>Robusta-Light-0.2</v>
      </c>
      <c r="F351" s="2">
        <v>4</v>
      </c>
      <c r="G351" s="2" t="str" cm="1">
        <f t="array" ref="G351">_xlfn.XLOOKUP(C351, customers!$A$1:A1350,customers!$B$1:B1350,,0)</f>
        <v>Dell Daveridge</v>
      </c>
      <c r="H351" s="2" t="str" cm="1">
        <f t="array" ref="H351">IF(_xlfn.XLOOKUP(C351,customers!$A$1:A1350,customers!$C$1:C1350,,0) = 0,"", _xlfn.XLOOKUP(C351,customers!$A$1:A1350,customers!$C$1:C1350,,0))</f>
        <v>ddaveridge9p@arstechnica.com</v>
      </c>
      <c r="I351" s="2" t="str">
        <f>_xlfn.XLOOKUP(C351,customers!$A$1:$A$1001,customers!$G$1:$G$1001,,0)</f>
        <v>United States</v>
      </c>
      <c r="J351" s="2" t="str">
        <f>_xlfn.XLOOKUP(Orders[[#This Row],[Customer ID]],customers!$A$1:$A$1001,customers!$F$1:$F$1001,,0)</f>
        <v>Los Angeles</v>
      </c>
      <c r="K351" t="str">
        <f>INDEX(products!$A$1:$G$49,MATCH(orders!$D351,products!$A$1:$A$49,0),MATCH(orders!K$1,products!$A$1:$G$1,0))</f>
        <v>Rob</v>
      </c>
      <c r="L351" t="str">
        <f>INDEX(products!$A$1:$G$49,MATCH(orders!$D351,products!$A$1:$A$49,0),MATCH(orders!L$1,products!$A$1:$G$1,0))</f>
        <v>L</v>
      </c>
      <c r="M351" s="14">
        <f>INDEX(products!$A$1:$G$49,MATCH(orders!$D351,products!$A$1:$A$49,0),MATCH(orders!M$1,products!$A$1:$G$1,0))</f>
        <v>0.2</v>
      </c>
      <c r="N351" s="4">
        <f>INDEX(products!$A$1:$G$49,MATCH(orders!$D351,products!$A$1:$A$49,0),MATCH(orders!N$1,products!$A$1:$G$1,0))</f>
        <v>3.5849999999999995</v>
      </c>
      <c r="O351" s="13">
        <f t="shared" si="25"/>
        <v>14.339999999999998</v>
      </c>
      <c r="P351" s="13">
        <f>_xlfn.XLOOKUP(Orders[[#This Row],[Product ID]],products!$A$1:$A$49,products!$G$1:$G$49,,0)</f>
        <v>0.21509999999999996</v>
      </c>
      <c r="Q351" s="13">
        <f t="shared" si="26"/>
        <v>0.86039999999999983</v>
      </c>
      <c r="R351" t="str">
        <f t="shared" si="28"/>
        <v>Robusta</v>
      </c>
      <c r="S351" t="str">
        <f t="shared" si="29"/>
        <v>Light</v>
      </c>
      <c r="T351" t="str">
        <f>_xlfn.XLOOKUP(Orders[[#This Row],[Customer ID]],customers!$A$1:$A$1001,customers!$I$1:$I$1001,,0)</f>
        <v>No</v>
      </c>
    </row>
    <row r="352" spans="1:20" x14ac:dyDescent="0.35">
      <c r="A352" s="2" t="s">
        <v>2464</v>
      </c>
      <c r="B352" s="3">
        <v>43592</v>
      </c>
      <c r="C352" s="2" t="s">
        <v>2465</v>
      </c>
      <c r="D352" t="s">
        <v>6158</v>
      </c>
      <c r="E352" t="str">
        <f t="shared" si="27"/>
        <v>Arabica-Dark-0.5</v>
      </c>
      <c r="F352" s="2">
        <v>4</v>
      </c>
      <c r="G352" s="2" t="str" cm="1">
        <f t="array" ref="G352">_xlfn.XLOOKUP(C352, customers!$A$1:A1351,customers!$B$1:B1351,,0)</f>
        <v>Joshuah Awdry</v>
      </c>
      <c r="H352" s="2" t="str" cm="1">
        <f t="array" ref="H352">IF(_xlfn.XLOOKUP(C352,customers!$A$1:A1351,customers!$C$1:C1351,,0) = 0,"", _xlfn.XLOOKUP(C352,customers!$A$1:A1351,customers!$C$1:C1351,,0))</f>
        <v>jawdry9q@utexas.edu</v>
      </c>
      <c r="I352" s="2" t="str">
        <f>_xlfn.XLOOKUP(C352,customers!$A$1:$A$1001,customers!$G$1:$G$1001,,0)</f>
        <v>United States</v>
      </c>
      <c r="J352" s="2" t="str">
        <f>_xlfn.XLOOKUP(Orders[[#This Row],[Customer ID]],customers!$A$1:$A$1001,customers!$F$1:$F$1001,,0)</f>
        <v>Shreveport</v>
      </c>
      <c r="K352" t="str">
        <f>INDEX(products!$A$1:$G$49,MATCH(orders!$D352,products!$A$1:$A$49,0),MATCH(orders!K$1,products!$A$1:$G$1,0))</f>
        <v>Ara</v>
      </c>
      <c r="L352" t="str">
        <f>INDEX(products!$A$1:$G$49,MATCH(orders!$D352,products!$A$1:$A$49,0),MATCH(orders!L$1,products!$A$1:$G$1,0))</f>
        <v>D</v>
      </c>
      <c r="M352" s="14">
        <f>INDEX(products!$A$1:$G$49,MATCH(orders!$D352,products!$A$1:$A$49,0),MATCH(orders!M$1,products!$A$1:$G$1,0))</f>
        <v>0.5</v>
      </c>
      <c r="N352" s="4">
        <f>INDEX(products!$A$1:$G$49,MATCH(orders!$D352,products!$A$1:$A$49,0),MATCH(orders!N$1,products!$A$1:$G$1,0))</f>
        <v>5.97</v>
      </c>
      <c r="O352" s="13">
        <f t="shared" si="25"/>
        <v>23.88</v>
      </c>
      <c r="P352" s="13">
        <f>_xlfn.XLOOKUP(Orders[[#This Row],[Product ID]],products!$A$1:$A$49,products!$G$1:$G$49,,0)</f>
        <v>0.5373</v>
      </c>
      <c r="Q352" s="13">
        <f t="shared" si="26"/>
        <v>2.1492</v>
      </c>
      <c r="R352" t="str">
        <f t="shared" si="28"/>
        <v>Arabica</v>
      </c>
      <c r="S352" t="str">
        <f t="shared" si="29"/>
        <v>Dark</v>
      </c>
      <c r="T352" t="str">
        <f>_xlfn.XLOOKUP(Orders[[#This Row],[Customer ID]],customers!$A$1:$A$1001,customers!$I$1:$I$1001,,0)</f>
        <v>No</v>
      </c>
    </row>
    <row r="353" spans="1:20" x14ac:dyDescent="0.35">
      <c r="A353" s="2" t="s">
        <v>2470</v>
      </c>
      <c r="B353" s="3">
        <v>44066</v>
      </c>
      <c r="C353" s="2" t="s">
        <v>2471</v>
      </c>
      <c r="D353" t="s">
        <v>6155</v>
      </c>
      <c r="E353" t="str">
        <f t="shared" si="27"/>
        <v>Arabica-Medium-1</v>
      </c>
      <c r="F353" s="2">
        <v>2</v>
      </c>
      <c r="G353" s="2" t="str" cm="1">
        <f t="array" ref="G353">_xlfn.XLOOKUP(C353, customers!$A$1:A1352,customers!$B$1:B1352,,0)</f>
        <v>Ethel Ryles</v>
      </c>
      <c r="H353" s="2" t="str" cm="1">
        <f t="array" ref="H353">IF(_xlfn.XLOOKUP(C353,customers!$A$1:A1352,customers!$C$1:C1352,,0) = 0,"", _xlfn.XLOOKUP(C353,customers!$A$1:A1352,customers!$C$1:C1352,,0))</f>
        <v>eryles9r@fastcompany.com</v>
      </c>
      <c r="I353" s="2" t="str">
        <f>_xlfn.XLOOKUP(C353,customers!$A$1:$A$1001,customers!$G$1:$G$1001,,0)</f>
        <v>United States</v>
      </c>
      <c r="J353" s="2" t="str">
        <f>_xlfn.XLOOKUP(Orders[[#This Row],[Customer ID]],customers!$A$1:$A$1001,customers!$F$1:$F$1001,,0)</f>
        <v>Boise</v>
      </c>
      <c r="K353" t="str">
        <f>INDEX(products!$A$1:$G$49,MATCH(orders!$D353,products!$A$1:$A$49,0),MATCH(orders!K$1,products!$A$1:$G$1,0))</f>
        <v>Ara</v>
      </c>
      <c r="L353" t="str">
        <f>INDEX(products!$A$1:$G$49,MATCH(orders!$D353,products!$A$1:$A$49,0),MATCH(orders!L$1,products!$A$1:$G$1,0))</f>
        <v>M</v>
      </c>
      <c r="M353" s="14">
        <f>INDEX(products!$A$1:$G$49,MATCH(orders!$D353,products!$A$1:$A$49,0),MATCH(orders!M$1,products!$A$1:$G$1,0))</f>
        <v>1</v>
      </c>
      <c r="N353" s="4">
        <f>INDEX(products!$A$1:$G$49,MATCH(orders!$D353,products!$A$1:$A$49,0),MATCH(orders!N$1,products!$A$1:$G$1,0))</f>
        <v>11.25</v>
      </c>
      <c r="O353" s="13">
        <f t="shared" si="25"/>
        <v>22.5</v>
      </c>
      <c r="P353" s="13">
        <f>_xlfn.XLOOKUP(Orders[[#This Row],[Product ID]],products!$A$1:$A$49,products!$G$1:$G$49,,0)</f>
        <v>1.0125</v>
      </c>
      <c r="Q353" s="13">
        <f t="shared" si="26"/>
        <v>2.0249999999999999</v>
      </c>
      <c r="R353" t="str">
        <f t="shared" si="28"/>
        <v>Arabica</v>
      </c>
      <c r="S353" t="str">
        <f t="shared" si="29"/>
        <v>Medium</v>
      </c>
      <c r="T353" t="str">
        <f>_xlfn.XLOOKUP(Orders[[#This Row],[Customer ID]],customers!$A$1:$A$1001,customers!$I$1:$I$1001,,0)</f>
        <v>No</v>
      </c>
    </row>
    <row r="354" spans="1:20" x14ac:dyDescent="0.35">
      <c r="A354" s="2" t="s">
        <v>2476</v>
      </c>
      <c r="B354" s="3">
        <v>43984</v>
      </c>
      <c r="C354" s="2" t="s">
        <v>2331</v>
      </c>
      <c r="D354" t="s">
        <v>6144</v>
      </c>
      <c r="E354" t="str">
        <f t="shared" si="27"/>
        <v>Excelsa-Dark-0.5</v>
      </c>
      <c r="F354" s="2">
        <v>5</v>
      </c>
      <c r="G354" s="2" t="str" cm="1">
        <f t="array" ref="G354">_xlfn.XLOOKUP(C354, customers!$A$1:A1353,customers!$B$1:B1353,,0)</f>
        <v>Flynn Antony</v>
      </c>
      <c r="H354" s="2" t="str" cm="1">
        <f t="array" ref="H354">IF(_xlfn.XLOOKUP(C354,customers!$A$1:A1353,customers!$C$1:C1353,,0) = 0,"", _xlfn.XLOOKUP(C354,customers!$A$1:A1353,customers!$C$1:C1353,,0))</f>
        <v/>
      </c>
      <c r="I354" s="2" t="str">
        <f>_xlfn.XLOOKUP(C354,customers!$A$1:$A$1001,customers!$G$1:$G$1001,,0)</f>
        <v>United States</v>
      </c>
      <c r="J354" s="2" t="str">
        <f>_xlfn.XLOOKUP(Orders[[#This Row],[Customer ID]],customers!$A$1:$A$1001,customers!$F$1:$F$1001,,0)</f>
        <v>Birmingham</v>
      </c>
      <c r="K354" t="str">
        <f>INDEX(products!$A$1:$G$49,MATCH(orders!$D354,products!$A$1:$A$49,0),MATCH(orders!K$1,products!$A$1:$G$1,0))</f>
        <v>Exc</v>
      </c>
      <c r="L354" t="str">
        <f>INDEX(products!$A$1:$G$49,MATCH(orders!$D354,products!$A$1:$A$49,0),MATCH(orders!L$1,products!$A$1:$G$1,0))</f>
        <v>D</v>
      </c>
      <c r="M354" s="14">
        <f>INDEX(products!$A$1:$G$49,MATCH(orders!$D354,products!$A$1:$A$49,0),MATCH(orders!M$1,products!$A$1:$G$1,0))</f>
        <v>0.5</v>
      </c>
      <c r="N354" s="4">
        <f>INDEX(products!$A$1:$G$49,MATCH(orders!$D354,products!$A$1:$A$49,0),MATCH(orders!N$1,products!$A$1:$G$1,0))</f>
        <v>7.29</v>
      </c>
      <c r="O354" s="13">
        <f t="shared" si="25"/>
        <v>36.450000000000003</v>
      </c>
      <c r="P354" s="13">
        <f>_xlfn.XLOOKUP(Orders[[#This Row],[Product ID]],products!$A$1:$A$49,products!$G$1:$G$49,,0)</f>
        <v>0.80190000000000006</v>
      </c>
      <c r="Q354" s="13">
        <f t="shared" si="26"/>
        <v>4.0095000000000001</v>
      </c>
      <c r="R354" t="str">
        <f t="shared" si="28"/>
        <v>Execelsa</v>
      </c>
      <c r="S354" t="str">
        <f t="shared" si="29"/>
        <v>Dark</v>
      </c>
      <c r="T354" t="str">
        <f>_xlfn.XLOOKUP(Orders[[#This Row],[Customer ID]],customers!$A$1:$A$1001,customers!$I$1:$I$1001,,0)</f>
        <v>No</v>
      </c>
    </row>
    <row r="355" spans="1:20" x14ac:dyDescent="0.35">
      <c r="A355" s="2" t="s">
        <v>2482</v>
      </c>
      <c r="B355" s="3">
        <v>43860</v>
      </c>
      <c r="C355" s="2" t="s">
        <v>2483</v>
      </c>
      <c r="D355" t="s">
        <v>6157</v>
      </c>
      <c r="E355" t="str">
        <f t="shared" si="27"/>
        <v>Arabica-Medium-0.5</v>
      </c>
      <c r="F355" s="2">
        <v>4</v>
      </c>
      <c r="G355" s="2" t="str" cm="1">
        <f t="array" ref="G355">_xlfn.XLOOKUP(C355, customers!$A$1:A1354,customers!$B$1:B1354,,0)</f>
        <v>Maitilde Boxill</v>
      </c>
      <c r="H355" s="2" t="str" cm="1">
        <f t="array" ref="H355">IF(_xlfn.XLOOKUP(C355,customers!$A$1:A1354,customers!$C$1:C1354,,0) = 0,"", _xlfn.XLOOKUP(C355,customers!$A$1:A1354,customers!$C$1:C1354,,0))</f>
        <v/>
      </c>
      <c r="I355" s="2" t="str">
        <f>_xlfn.XLOOKUP(C355,customers!$A$1:$A$1001,customers!$G$1:$G$1001,,0)</f>
        <v>United States</v>
      </c>
      <c r="J355" s="2" t="str">
        <f>_xlfn.XLOOKUP(Orders[[#This Row],[Customer ID]],customers!$A$1:$A$1001,customers!$F$1:$F$1001,,0)</f>
        <v>Montgomery</v>
      </c>
      <c r="K355" t="str">
        <f>INDEX(products!$A$1:$G$49,MATCH(orders!$D355,products!$A$1:$A$49,0),MATCH(orders!K$1,products!$A$1:$G$1,0))</f>
        <v>Ara</v>
      </c>
      <c r="L355" t="str">
        <f>INDEX(products!$A$1:$G$49,MATCH(orders!$D355,products!$A$1:$A$49,0),MATCH(orders!L$1,products!$A$1:$G$1,0))</f>
        <v>M</v>
      </c>
      <c r="M355" s="14">
        <f>INDEX(products!$A$1:$G$49,MATCH(orders!$D355,products!$A$1:$A$49,0),MATCH(orders!M$1,products!$A$1:$G$1,0))</f>
        <v>0.5</v>
      </c>
      <c r="N355" s="4">
        <f>INDEX(products!$A$1:$G$49,MATCH(orders!$D355,products!$A$1:$A$49,0),MATCH(orders!N$1,products!$A$1:$G$1,0))</f>
        <v>6.75</v>
      </c>
      <c r="O355" s="13">
        <f t="shared" si="25"/>
        <v>27</v>
      </c>
      <c r="P355" s="13">
        <f>_xlfn.XLOOKUP(Orders[[#This Row],[Product ID]],products!$A$1:$A$49,products!$G$1:$G$49,,0)</f>
        <v>0.60749999999999993</v>
      </c>
      <c r="Q355" s="13">
        <f t="shared" si="26"/>
        <v>2.4299999999999997</v>
      </c>
      <c r="R355" t="str">
        <f t="shared" si="28"/>
        <v>Arabica</v>
      </c>
      <c r="S355" t="str">
        <f t="shared" si="29"/>
        <v>Medium</v>
      </c>
      <c r="T355" t="str">
        <f>_xlfn.XLOOKUP(Orders[[#This Row],[Customer ID]],customers!$A$1:$A$1001,customers!$I$1:$I$1001,,0)</f>
        <v>Yes</v>
      </c>
    </row>
    <row r="356" spans="1:20" x14ac:dyDescent="0.35">
      <c r="A356" s="2" t="s">
        <v>2487</v>
      </c>
      <c r="B356" s="3">
        <v>43876</v>
      </c>
      <c r="C356" s="2" t="s">
        <v>2488</v>
      </c>
      <c r="D356" t="s">
        <v>6175</v>
      </c>
      <c r="E356" t="str">
        <f t="shared" si="27"/>
        <v>Arabica-Medium-2.5</v>
      </c>
      <c r="F356" s="2">
        <v>6</v>
      </c>
      <c r="G356" s="2" t="str" cm="1">
        <f t="array" ref="G356">_xlfn.XLOOKUP(C356, customers!$A$1:A1355,customers!$B$1:B1355,,0)</f>
        <v>Jodee Caldicott</v>
      </c>
      <c r="H356" s="2" t="str" cm="1">
        <f t="array" ref="H356">IF(_xlfn.XLOOKUP(C356,customers!$A$1:A1355,customers!$C$1:C1355,,0) = 0,"", _xlfn.XLOOKUP(C356,customers!$A$1:A1355,customers!$C$1:C1355,,0))</f>
        <v>jcaldicott9u@usda.gov</v>
      </c>
      <c r="I356" s="2" t="str">
        <f>_xlfn.XLOOKUP(C356,customers!$A$1:$A$1001,customers!$G$1:$G$1001,,0)</f>
        <v>United States</v>
      </c>
      <c r="J356" s="2" t="str">
        <f>_xlfn.XLOOKUP(Orders[[#This Row],[Customer ID]],customers!$A$1:$A$1001,customers!$F$1:$F$1001,,0)</f>
        <v>Fort Pierce</v>
      </c>
      <c r="K356" t="str">
        <f>INDEX(products!$A$1:$G$49,MATCH(orders!$D356,products!$A$1:$A$49,0),MATCH(orders!K$1,products!$A$1:$G$1,0))</f>
        <v>Ara</v>
      </c>
      <c r="L356" t="str">
        <f>INDEX(products!$A$1:$G$49,MATCH(orders!$D356,products!$A$1:$A$49,0),MATCH(orders!L$1,products!$A$1:$G$1,0))</f>
        <v>M</v>
      </c>
      <c r="M356" s="14">
        <f>INDEX(products!$A$1:$G$49,MATCH(orders!$D356,products!$A$1:$A$49,0),MATCH(orders!M$1,products!$A$1:$G$1,0))</f>
        <v>2.5</v>
      </c>
      <c r="N356" s="4">
        <f>INDEX(products!$A$1:$G$49,MATCH(orders!$D356,products!$A$1:$A$49,0),MATCH(orders!N$1,products!$A$1:$G$1,0))</f>
        <v>25.874999999999996</v>
      </c>
      <c r="O356" s="13">
        <f t="shared" si="25"/>
        <v>155.24999999999997</v>
      </c>
      <c r="P356" s="13">
        <f>_xlfn.XLOOKUP(Orders[[#This Row],[Product ID]],products!$A$1:$A$49,products!$G$1:$G$49,,0)</f>
        <v>2.3287499999999994</v>
      </c>
      <c r="Q356" s="13">
        <f t="shared" si="26"/>
        <v>13.972499999999997</v>
      </c>
      <c r="R356" t="str">
        <f t="shared" si="28"/>
        <v>Arabica</v>
      </c>
      <c r="S356" t="str">
        <f t="shared" si="29"/>
        <v>Medium</v>
      </c>
      <c r="T356" t="str">
        <f>_xlfn.XLOOKUP(Orders[[#This Row],[Customer ID]],customers!$A$1:$A$1001,customers!$I$1:$I$1001,,0)</f>
        <v>No</v>
      </c>
    </row>
    <row r="357" spans="1:20" x14ac:dyDescent="0.35">
      <c r="A357" s="2" t="s">
        <v>2492</v>
      </c>
      <c r="B357" s="3">
        <v>44358</v>
      </c>
      <c r="C357" s="2" t="s">
        <v>2493</v>
      </c>
      <c r="D357" t="s">
        <v>6168</v>
      </c>
      <c r="E357" t="str">
        <f t="shared" si="27"/>
        <v>Arabica-Dark-2.5</v>
      </c>
      <c r="F357" s="2">
        <v>5</v>
      </c>
      <c r="G357" s="2" t="str" cm="1">
        <f t="array" ref="G357">_xlfn.XLOOKUP(C357, customers!$A$1:A1356,customers!$B$1:B1356,,0)</f>
        <v>Marianna Vedmore</v>
      </c>
      <c r="H357" s="2" t="str" cm="1">
        <f t="array" ref="H357">IF(_xlfn.XLOOKUP(C357,customers!$A$1:A1356,customers!$C$1:C1356,,0) = 0,"", _xlfn.XLOOKUP(C357,customers!$A$1:A1356,customers!$C$1:C1356,,0))</f>
        <v>mvedmore9v@a8.net</v>
      </c>
      <c r="I357" s="2" t="str">
        <f>_xlfn.XLOOKUP(C357,customers!$A$1:$A$1001,customers!$G$1:$G$1001,,0)</f>
        <v>United States</v>
      </c>
      <c r="J357" s="2" t="str">
        <f>_xlfn.XLOOKUP(Orders[[#This Row],[Customer ID]],customers!$A$1:$A$1001,customers!$F$1:$F$1001,,0)</f>
        <v>Greensboro</v>
      </c>
      <c r="K357" t="str">
        <f>INDEX(products!$A$1:$G$49,MATCH(orders!$D357,products!$A$1:$A$49,0),MATCH(orders!K$1,products!$A$1:$G$1,0))</f>
        <v>Ara</v>
      </c>
      <c r="L357" t="str">
        <f>INDEX(products!$A$1:$G$49,MATCH(orders!$D357,products!$A$1:$A$49,0),MATCH(orders!L$1,products!$A$1:$G$1,0))</f>
        <v>D</v>
      </c>
      <c r="M357" s="14">
        <f>INDEX(products!$A$1:$G$49,MATCH(orders!$D357,products!$A$1:$A$49,0),MATCH(orders!M$1,products!$A$1:$G$1,0))</f>
        <v>2.5</v>
      </c>
      <c r="N357" s="4">
        <f>INDEX(products!$A$1:$G$49,MATCH(orders!$D357,products!$A$1:$A$49,0),MATCH(orders!N$1,products!$A$1:$G$1,0))</f>
        <v>22.884999999999998</v>
      </c>
      <c r="O357" s="13">
        <f t="shared" si="25"/>
        <v>114.42499999999998</v>
      </c>
      <c r="P357" s="13">
        <f>_xlfn.XLOOKUP(Orders[[#This Row],[Product ID]],products!$A$1:$A$49,products!$G$1:$G$49,,0)</f>
        <v>2.0596499999999995</v>
      </c>
      <c r="Q357" s="13">
        <f t="shared" si="26"/>
        <v>10.298249999999998</v>
      </c>
      <c r="R357" t="str">
        <f t="shared" si="28"/>
        <v>Arabica</v>
      </c>
      <c r="S357" t="str">
        <f t="shared" si="29"/>
        <v>Dark</v>
      </c>
      <c r="T357" t="str">
        <f>_xlfn.XLOOKUP(Orders[[#This Row],[Customer ID]],customers!$A$1:$A$1001,customers!$I$1:$I$1001,,0)</f>
        <v>Yes</v>
      </c>
    </row>
    <row r="358" spans="1:20" x14ac:dyDescent="0.35">
      <c r="A358" s="2" t="s">
        <v>2498</v>
      </c>
      <c r="B358" s="3">
        <v>44631</v>
      </c>
      <c r="C358" s="2" t="s">
        <v>2499</v>
      </c>
      <c r="D358" t="s">
        <v>6143</v>
      </c>
      <c r="E358" t="str">
        <f t="shared" si="27"/>
        <v>Liberica-Dark-1</v>
      </c>
      <c r="F358" s="2">
        <v>4</v>
      </c>
      <c r="G358" s="2" t="str" cm="1">
        <f t="array" ref="G358">_xlfn.XLOOKUP(C358, customers!$A$1:A1357,customers!$B$1:B1357,,0)</f>
        <v>Willey Romao</v>
      </c>
      <c r="H358" s="2" t="str" cm="1">
        <f t="array" ref="H358">IF(_xlfn.XLOOKUP(C358,customers!$A$1:A1357,customers!$C$1:C1357,,0) = 0,"", _xlfn.XLOOKUP(C358,customers!$A$1:A1357,customers!$C$1:C1357,,0))</f>
        <v>wromao9w@chronoengine.com</v>
      </c>
      <c r="I358" s="2" t="str">
        <f>_xlfn.XLOOKUP(C358,customers!$A$1:$A$1001,customers!$G$1:$G$1001,,0)</f>
        <v>United States</v>
      </c>
      <c r="J358" s="2" t="str">
        <f>_xlfn.XLOOKUP(Orders[[#This Row],[Customer ID]],customers!$A$1:$A$1001,customers!$F$1:$F$1001,,0)</f>
        <v>Sacramento</v>
      </c>
      <c r="K358" t="str">
        <f>INDEX(products!$A$1:$G$49,MATCH(orders!$D358,products!$A$1:$A$49,0),MATCH(orders!K$1,products!$A$1:$G$1,0))</f>
        <v>Lib</v>
      </c>
      <c r="L358" t="str">
        <f>INDEX(products!$A$1:$G$49,MATCH(orders!$D358,products!$A$1:$A$49,0),MATCH(orders!L$1,products!$A$1:$G$1,0))</f>
        <v>D</v>
      </c>
      <c r="M358" s="14">
        <f>INDEX(products!$A$1:$G$49,MATCH(orders!$D358,products!$A$1:$A$49,0),MATCH(orders!M$1,products!$A$1:$G$1,0))</f>
        <v>1</v>
      </c>
      <c r="N358" s="4">
        <f>INDEX(products!$A$1:$G$49,MATCH(orders!$D358,products!$A$1:$A$49,0),MATCH(orders!N$1,products!$A$1:$G$1,0))</f>
        <v>12.95</v>
      </c>
      <c r="O358" s="13">
        <f t="shared" si="25"/>
        <v>51.8</v>
      </c>
      <c r="P358" s="13">
        <f>_xlfn.XLOOKUP(Orders[[#This Row],[Product ID]],products!$A$1:$A$49,products!$G$1:$G$49,,0)</f>
        <v>1.6835</v>
      </c>
      <c r="Q358" s="13">
        <f t="shared" si="26"/>
        <v>6.734</v>
      </c>
      <c r="R358" t="str">
        <f t="shared" si="28"/>
        <v>Liberica</v>
      </c>
      <c r="S358" t="str">
        <f t="shared" si="29"/>
        <v>Dark</v>
      </c>
      <c r="T358" t="str">
        <f>_xlfn.XLOOKUP(Orders[[#This Row],[Customer ID]],customers!$A$1:$A$1001,customers!$I$1:$I$1001,,0)</f>
        <v>Yes</v>
      </c>
    </row>
    <row r="359" spans="1:20" x14ac:dyDescent="0.35">
      <c r="A359" s="2" t="s">
        <v>2504</v>
      </c>
      <c r="B359" s="3">
        <v>44448</v>
      </c>
      <c r="C359" s="2" t="s">
        <v>2505</v>
      </c>
      <c r="D359" t="s">
        <v>6175</v>
      </c>
      <c r="E359" t="str">
        <f t="shared" si="27"/>
        <v>Arabica-Medium-2.5</v>
      </c>
      <c r="F359" s="2">
        <v>6</v>
      </c>
      <c r="G359" s="2" t="str" cm="1">
        <f t="array" ref="G359">_xlfn.XLOOKUP(C359, customers!$A$1:A1358,customers!$B$1:B1358,,0)</f>
        <v>Enriqueta Ixor</v>
      </c>
      <c r="H359" s="2" t="str" cm="1">
        <f t="array" ref="H359">IF(_xlfn.XLOOKUP(C359,customers!$A$1:A1358,customers!$C$1:C1358,,0) = 0,"", _xlfn.XLOOKUP(C359,customers!$A$1:A1358,customers!$C$1:C1358,,0))</f>
        <v/>
      </c>
      <c r="I359" s="2" t="str">
        <f>_xlfn.XLOOKUP(C359,customers!$A$1:$A$1001,customers!$G$1:$G$1001,,0)</f>
        <v>United States</v>
      </c>
      <c r="J359" s="2" t="str">
        <f>_xlfn.XLOOKUP(Orders[[#This Row],[Customer ID]],customers!$A$1:$A$1001,customers!$F$1:$F$1001,,0)</f>
        <v>Round Rock</v>
      </c>
      <c r="K359" t="str">
        <f>INDEX(products!$A$1:$G$49,MATCH(orders!$D359,products!$A$1:$A$49,0),MATCH(orders!K$1,products!$A$1:$G$1,0))</f>
        <v>Ara</v>
      </c>
      <c r="L359" t="str">
        <f>INDEX(products!$A$1:$G$49,MATCH(orders!$D359,products!$A$1:$A$49,0),MATCH(orders!L$1,products!$A$1:$G$1,0))</f>
        <v>M</v>
      </c>
      <c r="M359" s="14">
        <f>INDEX(products!$A$1:$G$49,MATCH(orders!$D359,products!$A$1:$A$49,0),MATCH(orders!M$1,products!$A$1:$G$1,0))</f>
        <v>2.5</v>
      </c>
      <c r="N359" s="4">
        <f>INDEX(products!$A$1:$G$49,MATCH(orders!$D359,products!$A$1:$A$49,0),MATCH(orders!N$1,products!$A$1:$G$1,0))</f>
        <v>25.874999999999996</v>
      </c>
      <c r="O359" s="13">
        <f t="shared" si="25"/>
        <v>155.24999999999997</v>
      </c>
      <c r="P359" s="13">
        <f>_xlfn.XLOOKUP(Orders[[#This Row],[Product ID]],products!$A$1:$A$49,products!$G$1:$G$49,,0)</f>
        <v>2.3287499999999994</v>
      </c>
      <c r="Q359" s="13">
        <f t="shared" si="26"/>
        <v>13.972499999999997</v>
      </c>
      <c r="R359" t="str">
        <f t="shared" si="28"/>
        <v>Arabica</v>
      </c>
      <c r="S359" t="str">
        <f t="shared" si="29"/>
        <v>Medium</v>
      </c>
      <c r="T359" t="str">
        <f>_xlfn.XLOOKUP(Orders[[#This Row],[Customer ID]],customers!$A$1:$A$1001,customers!$I$1:$I$1001,,0)</f>
        <v>No</v>
      </c>
    </row>
    <row r="360" spans="1:20" x14ac:dyDescent="0.35">
      <c r="A360" s="2" t="s">
        <v>2509</v>
      </c>
      <c r="B360" s="3">
        <v>43599</v>
      </c>
      <c r="C360" s="2" t="s">
        <v>2510</v>
      </c>
      <c r="D360" t="s">
        <v>6182</v>
      </c>
      <c r="E360" t="str">
        <f t="shared" si="27"/>
        <v>Arabica-Light-2.5</v>
      </c>
      <c r="F360" s="2">
        <v>1</v>
      </c>
      <c r="G360" s="2" t="str" cm="1">
        <f t="array" ref="G360">_xlfn.XLOOKUP(C360, customers!$A$1:A1359,customers!$B$1:B1359,,0)</f>
        <v>Tomasina Cotmore</v>
      </c>
      <c r="H360" s="2" t="str" cm="1">
        <f t="array" ref="H360">IF(_xlfn.XLOOKUP(C360,customers!$A$1:A1359,customers!$C$1:C1359,,0) = 0,"", _xlfn.XLOOKUP(C360,customers!$A$1:A1359,customers!$C$1:C1359,,0))</f>
        <v>tcotmore9y@amazonaws.com</v>
      </c>
      <c r="I360" s="2" t="str">
        <f>_xlfn.XLOOKUP(C360,customers!$A$1:$A$1001,customers!$G$1:$G$1001,,0)</f>
        <v>United States</v>
      </c>
      <c r="J360" s="2" t="str">
        <f>_xlfn.XLOOKUP(Orders[[#This Row],[Customer ID]],customers!$A$1:$A$1001,customers!$F$1:$F$1001,,0)</f>
        <v>Reston</v>
      </c>
      <c r="K360" t="str">
        <f>INDEX(products!$A$1:$G$49,MATCH(orders!$D360,products!$A$1:$A$49,0),MATCH(orders!K$1,products!$A$1:$G$1,0))</f>
        <v>Ara</v>
      </c>
      <c r="L360" t="str">
        <f>INDEX(products!$A$1:$G$49,MATCH(orders!$D360,products!$A$1:$A$49,0),MATCH(orders!L$1,products!$A$1:$G$1,0))</f>
        <v>L</v>
      </c>
      <c r="M360" s="14">
        <f>INDEX(products!$A$1:$G$49,MATCH(orders!$D360,products!$A$1:$A$49,0),MATCH(orders!M$1,products!$A$1:$G$1,0))</f>
        <v>2.5</v>
      </c>
      <c r="N360" s="4">
        <f>INDEX(products!$A$1:$G$49,MATCH(orders!$D360,products!$A$1:$A$49,0),MATCH(orders!N$1,products!$A$1:$G$1,0))</f>
        <v>29.784999999999997</v>
      </c>
      <c r="O360" s="13">
        <f t="shared" si="25"/>
        <v>29.784999999999997</v>
      </c>
      <c r="P360" s="13">
        <f>_xlfn.XLOOKUP(Orders[[#This Row],[Product ID]],products!$A$1:$A$49,products!$G$1:$G$49,,0)</f>
        <v>2.6806499999999995</v>
      </c>
      <c r="Q360" s="13">
        <f t="shared" si="26"/>
        <v>2.6806499999999995</v>
      </c>
      <c r="R360" t="str">
        <f t="shared" si="28"/>
        <v>Arabica</v>
      </c>
      <c r="S360" t="str">
        <f t="shared" si="29"/>
        <v>Light</v>
      </c>
      <c r="T360" t="str">
        <f>_xlfn.XLOOKUP(Orders[[#This Row],[Customer ID]],customers!$A$1:$A$1001,customers!$I$1:$I$1001,,0)</f>
        <v>No</v>
      </c>
    </row>
    <row r="361" spans="1:20" x14ac:dyDescent="0.35">
      <c r="A361" s="2" t="s">
        <v>2515</v>
      </c>
      <c r="B361" s="3">
        <v>43563</v>
      </c>
      <c r="C361" s="2" t="s">
        <v>2516</v>
      </c>
      <c r="D361" t="s">
        <v>6178</v>
      </c>
      <c r="E361" t="str">
        <f t="shared" si="27"/>
        <v>Robusta-Light-0.2</v>
      </c>
      <c r="F361" s="2">
        <v>6</v>
      </c>
      <c r="G361" s="2" t="str" cm="1">
        <f t="array" ref="G361">_xlfn.XLOOKUP(C361, customers!$A$1:A1360,customers!$B$1:B1360,,0)</f>
        <v>Yuma Skipsey</v>
      </c>
      <c r="H361" s="2" t="str" cm="1">
        <f t="array" ref="H361">IF(_xlfn.XLOOKUP(C361,customers!$A$1:A1360,customers!$C$1:C1360,,0) = 0,"", _xlfn.XLOOKUP(C361,customers!$A$1:A1360,customers!$C$1:C1360,,0))</f>
        <v>yskipsey9z@spotify.com</v>
      </c>
      <c r="I361" s="2" t="str">
        <f>_xlfn.XLOOKUP(C361,customers!$A$1:$A$1001,customers!$G$1:$G$1001,,0)</f>
        <v>United Kingdom</v>
      </c>
      <c r="J361" s="2" t="str">
        <f>_xlfn.XLOOKUP(Orders[[#This Row],[Customer ID]],customers!$A$1:$A$1001,customers!$F$1:$F$1001,,0)</f>
        <v>Charlton</v>
      </c>
      <c r="K361" t="str">
        <f>INDEX(products!$A$1:$G$49,MATCH(orders!$D361,products!$A$1:$A$49,0),MATCH(orders!K$1,products!$A$1:$G$1,0))</f>
        <v>Rob</v>
      </c>
      <c r="L361" t="str">
        <f>INDEX(products!$A$1:$G$49,MATCH(orders!$D361,products!$A$1:$A$49,0),MATCH(orders!L$1,products!$A$1:$G$1,0))</f>
        <v>L</v>
      </c>
      <c r="M361" s="14">
        <f>INDEX(products!$A$1:$G$49,MATCH(orders!$D361,products!$A$1:$A$49,0),MATCH(orders!M$1,products!$A$1:$G$1,0))</f>
        <v>0.2</v>
      </c>
      <c r="N361" s="4">
        <f>INDEX(products!$A$1:$G$49,MATCH(orders!$D361,products!$A$1:$A$49,0),MATCH(orders!N$1,products!$A$1:$G$1,0))</f>
        <v>3.5849999999999995</v>
      </c>
      <c r="O361" s="13">
        <f t="shared" si="25"/>
        <v>21.509999999999998</v>
      </c>
      <c r="P361" s="13">
        <f>_xlfn.XLOOKUP(Orders[[#This Row],[Product ID]],products!$A$1:$A$49,products!$G$1:$G$49,,0)</f>
        <v>0.21509999999999996</v>
      </c>
      <c r="Q361" s="13">
        <f t="shared" si="26"/>
        <v>1.2905999999999997</v>
      </c>
      <c r="R361" t="str">
        <f t="shared" si="28"/>
        <v>Robusta</v>
      </c>
      <c r="S361" t="str">
        <f t="shared" si="29"/>
        <v>Light</v>
      </c>
      <c r="T361" t="str">
        <f>_xlfn.XLOOKUP(Orders[[#This Row],[Customer ID]],customers!$A$1:$A$1001,customers!$I$1:$I$1001,,0)</f>
        <v>No</v>
      </c>
    </row>
    <row r="362" spans="1:20" x14ac:dyDescent="0.35">
      <c r="A362" s="2" t="s">
        <v>2521</v>
      </c>
      <c r="B362" s="3">
        <v>44058</v>
      </c>
      <c r="C362" s="2" t="s">
        <v>2522</v>
      </c>
      <c r="D362" t="s">
        <v>6149</v>
      </c>
      <c r="E362" t="str">
        <f t="shared" si="27"/>
        <v>Robusta-Dark-2.5</v>
      </c>
      <c r="F362" s="2">
        <v>2</v>
      </c>
      <c r="G362" s="2" t="str" cm="1">
        <f t="array" ref="G362">_xlfn.XLOOKUP(C362, customers!$A$1:A1361,customers!$B$1:B1361,,0)</f>
        <v>Nicko Corps</v>
      </c>
      <c r="H362" s="2" t="str" cm="1">
        <f t="array" ref="H362">IF(_xlfn.XLOOKUP(C362,customers!$A$1:A1361,customers!$C$1:C1361,,0) = 0,"", _xlfn.XLOOKUP(C362,customers!$A$1:A1361,customers!$C$1:C1361,,0))</f>
        <v>ncorpsa0@gmpg.org</v>
      </c>
      <c r="I362" s="2" t="str">
        <f>_xlfn.XLOOKUP(C362,customers!$A$1:$A$1001,customers!$G$1:$G$1001,,0)</f>
        <v>United States</v>
      </c>
      <c r="J362" s="2" t="str">
        <f>_xlfn.XLOOKUP(Orders[[#This Row],[Customer ID]],customers!$A$1:$A$1001,customers!$F$1:$F$1001,,0)</f>
        <v>Columbia</v>
      </c>
      <c r="K362" t="str">
        <f>INDEX(products!$A$1:$G$49,MATCH(orders!$D362,products!$A$1:$A$49,0),MATCH(orders!K$1,products!$A$1:$G$1,0))</f>
        <v>Rob</v>
      </c>
      <c r="L362" t="str">
        <f>INDEX(products!$A$1:$G$49,MATCH(orders!$D362,products!$A$1:$A$49,0),MATCH(orders!L$1,products!$A$1:$G$1,0))</f>
        <v>D</v>
      </c>
      <c r="M362" s="14">
        <f>INDEX(products!$A$1:$G$49,MATCH(orders!$D362,products!$A$1:$A$49,0),MATCH(orders!M$1,products!$A$1:$G$1,0))</f>
        <v>2.5</v>
      </c>
      <c r="N362" s="4">
        <f>INDEX(products!$A$1:$G$49,MATCH(orders!$D362,products!$A$1:$A$49,0),MATCH(orders!N$1,products!$A$1:$G$1,0))</f>
        <v>20.584999999999997</v>
      </c>
      <c r="O362" s="13">
        <f t="shared" si="25"/>
        <v>41.169999999999995</v>
      </c>
      <c r="P362" s="13">
        <f>_xlfn.XLOOKUP(Orders[[#This Row],[Product ID]],products!$A$1:$A$49,products!$G$1:$G$49,,0)</f>
        <v>1.2350999999999999</v>
      </c>
      <c r="Q362" s="13">
        <f t="shared" si="26"/>
        <v>2.4701999999999997</v>
      </c>
      <c r="R362" t="str">
        <f t="shared" si="28"/>
        <v>Robusta</v>
      </c>
      <c r="S362" t="str">
        <f t="shared" si="29"/>
        <v>Dark</v>
      </c>
      <c r="T362" t="str">
        <f>_xlfn.XLOOKUP(Orders[[#This Row],[Customer ID]],customers!$A$1:$A$1001,customers!$I$1:$I$1001,,0)</f>
        <v>No</v>
      </c>
    </row>
    <row r="363" spans="1:20" x14ac:dyDescent="0.35">
      <c r="A363" s="2" t="s">
        <v>2521</v>
      </c>
      <c r="B363" s="3">
        <v>44058</v>
      </c>
      <c r="C363" s="2" t="s">
        <v>2522</v>
      </c>
      <c r="D363" t="s">
        <v>6146</v>
      </c>
      <c r="E363" t="str">
        <f t="shared" si="27"/>
        <v>Robusta-Medium-0.5</v>
      </c>
      <c r="F363" s="2">
        <v>1</v>
      </c>
      <c r="G363" s="2" t="str" cm="1">
        <f t="array" ref="G363">_xlfn.XLOOKUP(C363, customers!$A$1:A1362,customers!$B$1:B1362,,0)</f>
        <v>Nicko Corps</v>
      </c>
      <c r="H363" s="2" t="str" cm="1">
        <f t="array" ref="H363">IF(_xlfn.XLOOKUP(C363,customers!$A$1:A1362,customers!$C$1:C1362,,0) = 0,"", _xlfn.XLOOKUP(C363,customers!$A$1:A1362,customers!$C$1:C1362,,0))</f>
        <v>ncorpsa0@gmpg.org</v>
      </c>
      <c r="I363" s="2" t="str">
        <f>_xlfn.XLOOKUP(C363,customers!$A$1:$A$1001,customers!$G$1:$G$1001,,0)</f>
        <v>United States</v>
      </c>
      <c r="J363" s="2" t="str">
        <f>_xlfn.XLOOKUP(Orders[[#This Row],[Customer ID]],customers!$A$1:$A$1001,customers!$F$1:$F$1001,,0)</f>
        <v>Columbia</v>
      </c>
      <c r="K363" t="str">
        <f>INDEX(products!$A$1:$G$49,MATCH(orders!$D363,products!$A$1:$A$49,0),MATCH(orders!K$1,products!$A$1:$G$1,0))</f>
        <v>Rob</v>
      </c>
      <c r="L363" t="str">
        <f>INDEX(products!$A$1:$G$49,MATCH(orders!$D363,products!$A$1:$A$49,0),MATCH(orders!L$1,products!$A$1:$G$1,0))</f>
        <v>M</v>
      </c>
      <c r="M363" s="14">
        <f>INDEX(products!$A$1:$G$49,MATCH(orders!$D363,products!$A$1:$A$49,0),MATCH(orders!M$1,products!$A$1:$G$1,0))</f>
        <v>0.5</v>
      </c>
      <c r="N363" s="4">
        <f>INDEX(products!$A$1:$G$49,MATCH(orders!$D363,products!$A$1:$A$49,0),MATCH(orders!N$1,products!$A$1:$G$1,0))</f>
        <v>5.97</v>
      </c>
      <c r="O363" s="13">
        <f t="shared" si="25"/>
        <v>5.97</v>
      </c>
      <c r="P363" s="13">
        <f>_xlfn.XLOOKUP(Orders[[#This Row],[Product ID]],products!$A$1:$A$49,products!$G$1:$G$49,,0)</f>
        <v>0.35819999999999996</v>
      </c>
      <c r="Q363" s="13">
        <f t="shared" si="26"/>
        <v>0.35819999999999996</v>
      </c>
      <c r="R363" t="str">
        <f t="shared" si="28"/>
        <v>Robusta</v>
      </c>
      <c r="S363" t="str">
        <f t="shared" si="29"/>
        <v>Medium</v>
      </c>
      <c r="T363" t="str">
        <f>_xlfn.XLOOKUP(Orders[[#This Row],[Customer ID]],customers!$A$1:$A$1001,customers!$I$1:$I$1001,,0)</f>
        <v>No</v>
      </c>
    </row>
    <row r="364" spans="1:20" x14ac:dyDescent="0.35">
      <c r="A364" s="2" t="s">
        <v>2532</v>
      </c>
      <c r="B364" s="3">
        <v>44686</v>
      </c>
      <c r="C364" s="2" t="s">
        <v>2533</v>
      </c>
      <c r="D364" t="s">
        <v>6171</v>
      </c>
      <c r="E364" t="str">
        <f t="shared" si="27"/>
        <v>Excelsa-Light-1</v>
      </c>
      <c r="F364" s="2">
        <v>5</v>
      </c>
      <c r="G364" s="2" t="str" cm="1">
        <f t="array" ref="G364">_xlfn.XLOOKUP(C364, customers!$A$1:A1363,customers!$B$1:B1363,,0)</f>
        <v>Feliks Babber</v>
      </c>
      <c r="H364" s="2" t="str" cm="1">
        <f t="array" ref="H364">IF(_xlfn.XLOOKUP(C364,customers!$A$1:A1363,customers!$C$1:C1363,,0) = 0,"", _xlfn.XLOOKUP(C364,customers!$A$1:A1363,customers!$C$1:C1363,,0))</f>
        <v>fbabbera2@stanford.edu</v>
      </c>
      <c r="I364" s="2" t="str">
        <f>_xlfn.XLOOKUP(C364,customers!$A$1:$A$1001,customers!$G$1:$G$1001,,0)</f>
        <v>United States</v>
      </c>
      <c r="J364" s="2" t="str">
        <f>_xlfn.XLOOKUP(Orders[[#This Row],[Customer ID]],customers!$A$1:$A$1001,customers!$F$1:$F$1001,,0)</f>
        <v>Phoenix</v>
      </c>
      <c r="K364" t="str">
        <f>INDEX(products!$A$1:$G$49,MATCH(orders!$D364,products!$A$1:$A$49,0),MATCH(orders!K$1,products!$A$1:$G$1,0))</f>
        <v>Exc</v>
      </c>
      <c r="L364" t="str">
        <f>INDEX(products!$A$1:$G$49,MATCH(orders!$D364,products!$A$1:$A$49,0),MATCH(orders!L$1,products!$A$1:$G$1,0))</f>
        <v>L</v>
      </c>
      <c r="M364" s="14">
        <f>INDEX(products!$A$1:$G$49,MATCH(orders!$D364,products!$A$1:$A$49,0),MATCH(orders!M$1,products!$A$1:$G$1,0))</f>
        <v>1</v>
      </c>
      <c r="N364" s="4">
        <f>INDEX(products!$A$1:$G$49,MATCH(orders!$D364,products!$A$1:$A$49,0),MATCH(orders!N$1,products!$A$1:$G$1,0))</f>
        <v>14.85</v>
      </c>
      <c r="O364" s="13">
        <f t="shared" si="25"/>
        <v>74.25</v>
      </c>
      <c r="P364" s="13">
        <f>_xlfn.XLOOKUP(Orders[[#This Row],[Product ID]],products!$A$1:$A$49,products!$G$1:$G$49,,0)</f>
        <v>1.6335</v>
      </c>
      <c r="Q364" s="13">
        <f t="shared" si="26"/>
        <v>8.1675000000000004</v>
      </c>
      <c r="R364" t="str">
        <f t="shared" si="28"/>
        <v>Execelsa</v>
      </c>
      <c r="S364" t="str">
        <f t="shared" si="29"/>
        <v>Light</v>
      </c>
      <c r="T364" t="str">
        <f>_xlfn.XLOOKUP(Orders[[#This Row],[Customer ID]],customers!$A$1:$A$1001,customers!$I$1:$I$1001,,0)</f>
        <v>Yes</v>
      </c>
    </row>
    <row r="365" spans="1:20" x14ac:dyDescent="0.35">
      <c r="A365" s="2" t="s">
        <v>2538</v>
      </c>
      <c r="B365" s="3">
        <v>44282</v>
      </c>
      <c r="C365" s="2" t="s">
        <v>2539</v>
      </c>
      <c r="D365" t="s">
        <v>6162</v>
      </c>
      <c r="E365" t="str">
        <f t="shared" si="27"/>
        <v>Liberica-Medium-1</v>
      </c>
      <c r="F365" s="2">
        <v>6</v>
      </c>
      <c r="G365" s="2" t="str" cm="1">
        <f t="array" ref="G365">_xlfn.XLOOKUP(C365, customers!$A$1:A1364,customers!$B$1:B1364,,0)</f>
        <v>Kaja Loxton</v>
      </c>
      <c r="H365" s="2" t="str" cm="1">
        <f t="array" ref="H365">IF(_xlfn.XLOOKUP(C365,customers!$A$1:A1364,customers!$C$1:C1364,,0) = 0,"", _xlfn.XLOOKUP(C365,customers!$A$1:A1364,customers!$C$1:C1364,,0))</f>
        <v>kloxtona3@opensource.org</v>
      </c>
      <c r="I365" s="2" t="str">
        <f>_xlfn.XLOOKUP(C365,customers!$A$1:$A$1001,customers!$G$1:$G$1001,,0)</f>
        <v>United States</v>
      </c>
      <c r="J365" s="2" t="str">
        <f>_xlfn.XLOOKUP(Orders[[#This Row],[Customer ID]],customers!$A$1:$A$1001,customers!$F$1:$F$1001,,0)</f>
        <v>Miami</v>
      </c>
      <c r="K365" t="str">
        <f>INDEX(products!$A$1:$G$49,MATCH(orders!$D365,products!$A$1:$A$49,0),MATCH(orders!K$1,products!$A$1:$G$1,0))</f>
        <v>Lib</v>
      </c>
      <c r="L365" t="str">
        <f>INDEX(products!$A$1:$G$49,MATCH(orders!$D365,products!$A$1:$A$49,0),MATCH(orders!L$1,products!$A$1:$G$1,0))</f>
        <v>M</v>
      </c>
      <c r="M365" s="14">
        <f>INDEX(products!$A$1:$G$49,MATCH(orders!$D365,products!$A$1:$A$49,0),MATCH(orders!M$1,products!$A$1:$G$1,0))</f>
        <v>1</v>
      </c>
      <c r="N365" s="4">
        <f>INDEX(products!$A$1:$G$49,MATCH(orders!$D365,products!$A$1:$A$49,0),MATCH(orders!N$1,products!$A$1:$G$1,0))</f>
        <v>14.55</v>
      </c>
      <c r="O365" s="13">
        <f t="shared" si="25"/>
        <v>87.300000000000011</v>
      </c>
      <c r="P365" s="13">
        <f>_xlfn.XLOOKUP(Orders[[#This Row],[Product ID]],products!$A$1:$A$49,products!$G$1:$G$49,,0)</f>
        <v>1.8915000000000002</v>
      </c>
      <c r="Q365" s="13">
        <f t="shared" si="26"/>
        <v>11.349</v>
      </c>
      <c r="R365" t="str">
        <f t="shared" si="28"/>
        <v>Liberica</v>
      </c>
      <c r="S365" t="str">
        <f t="shared" si="29"/>
        <v>Medium</v>
      </c>
      <c r="T365" t="str">
        <f>_xlfn.XLOOKUP(Orders[[#This Row],[Customer ID]],customers!$A$1:$A$1001,customers!$I$1:$I$1001,,0)</f>
        <v>No</v>
      </c>
    </row>
    <row r="366" spans="1:20" x14ac:dyDescent="0.35">
      <c r="A366" s="2" t="s">
        <v>2543</v>
      </c>
      <c r="B366" s="3">
        <v>43582</v>
      </c>
      <c r="C366" s="2" t="s">
        <v>2544</v>
      </c>
      <c r="D366" t="s">
        <v>6183</v>
      </c>
      <c r="E366" t="str">
        <f t="shared" si="27"/>
        <v>Excelsa-Dark-1</v>
      </c>
      <c r="F366" s="2">
        <v>6</v>
      </c>
      <c r="G366" s="2" t="str" cm="1">
        <f t="array" ref="G366">_xlfn.XLOOKUP(C366, customers!$A$1:A1365,customers!$B$1:B1365,,0)</f>
        <v>Parker Tofful</v>
      </c>
      <c r="H366" s="2" t="str" cm="1">
        <f t="array" ref="H366">IF(_xlfn.XLOOKUP(C366,customers!$A$1:A1365,customers!$C$1:C1365,,0) = 0,"", _xlfn.XLOOKUP(C366,customers!$A$1:A1365,customers!$C$1:C1365,,0))</f>
        <v>ptoffula4@posterous.com</v>
      </c>
      <c r="I366" s="2" t="str">
        <f>_xlfn.XLOOKUP(C366,customers!$A$1:$A$1001,customers!$G$1:$G$1001,,0)</f>
        <v>United States</v>
      </c>
      <c r="J366" s="2" t="str">
        <f>_xlfn.XLOOKUP(Orders[[#This Row],[Customer ID]],customers!$A$1:$A$1001,customers!$F$1:$F$1001,,0)</f>
        <v>Fresno</v>
      </c>
      <c r="K366" t="str">
        <f>INDEX(products!$A$1:$G$49,MATCH(orders!$D366,products!$A$1:$A$49,0),MATCH(orders!K$1,products!$A$1:$G$1,0))</f>
        <v>Exc</v>
      </c>
      <c r="L366" t="str">
        <f>INDEX(products!$A$1:$G$49,MATCH(orders!$D366,products!$A$1:$A$49,0),MATCH(orders!L$1,products!$A$1:$G$1,0))</f>
        <v>D</v>
      </c>
      <c r="M366" s="14">
        <f>INDEX(products!$A$1:$G$49,MATCH(orders!$D366,products!$A$1:$A$49,0),MATCH(orders!M$1,products!$A$1:$G$1,0))</f>
        <v>1</v>
      </c>
      <c r="N366" s="4">
        <f>INDEX(products!$A$1:$G$49,MATCH(orders!$D366,products!$A$1:$A$49,0),MATCH(orders!N$1,products!$A$1:$G$1,0))</f>
        <v>12.15</v>
      </c>
      <c r="O366" s="13">
        <f t="shared" si="25"/>
        <v>72.900000000000006</v>
      </c>
      <c r="P366" s="13">
        <f>_xlfn.XLOOKUP(Orders[[#This Row],[Product ID]],products!$A$1:$A$49,products!$G$1:$G$49,,0)</f>
        <v>1.3365</v>
      </c>
      <c r="Q366" s="13">
        <f t="shared" si="26"/>
        <v>8.0190000000000001</v>
      </c>
      <c r="R366" t="str">
        <f t="shared" si="28"/>
        <v>Execelsa</v>
      </c>
      <c r="S366" t="str">
        <f t="shared" si="29"/>
        <v>Dark</v>
      </c>
      <c r="T366" t="str">
        <f>_xlfn.XLOOKUP(Orders[[#This Row],[Customer ID]],customers!$A$1:$A$1001,customers!$I$1:$I$1001,,0)</f>
        <v>Yes</v>
      </c>
    </row>
    <row r="367" spans="1:20" x14ac:dyDescent="0.35">
      <c r="A367" s="2" t="s">
        <v>2549</v>
      </c>
      <c r="B367" s="3">
        <v>44464</v>
      </c>
      <c r="C367" s="2" t="s">
        <v>2550</v>
      </c>
      <c r="D367" t="s">
        <v>6169</v>
      </c>
      <c r="E367" t="str">
        <f t="shared" si="27"/>
        <v>Liberica-Dark-0.5</v>
      </c>
      <c r="F367" s="2">
        <v>1</v>
      </c>
      <c r="G367" s="2" t="str" cm="1">
        <f t="array" ref="G367">_xlfn.XLOOKUP(C367, customers!$A$1:A1366,customers!$B$1:B1366,,0)</f>
        <v>Casi Gwinnett</v>
      </c>
      <c r="H367" s="2" t="str" cm="1">
        <f t="array" ref="H367">IF(_xlfn.XLOOKUP(C367,customers!$A$1:A1366,customers!$C$1:C1366,,0) = 0,"", _xlfn.XLOOKUP(C367,customers!$A$1:A1366,customers!$C$1:C1366,,0))</f>
        <v>cgwinnetta5@behance.net</v>
      </c>
      <c r="I367" s="2" t="str">
        <f>_xlfn.XLOOKUP(C367,customers!$A$1:$A$1001,customers!$G$1:$G$1001,,0)</f>
        <v>United States</v>
      </c>
      <c r="J367" s="2" t="str">
        <f>_xlfn.XLOOKUP(Orders[[#This Row],[Customer ID]],customers!$A$1:$A$1001,customers!$F$1:$F$1001,,0)</f>
        <v>Anaheim</v>
      </c>
      <c r="K367" t="str">
        <f>INDEX(products!$A$1:$G$49,MATCH(orders!$D367,products!$A$1:$A$49,0),MATCH(orders!K$1,products!$A$1:$G$1,0))</f>
        <v>Lib</v>
      </c>
      <c r="L367" t="str">
        <f>INDEX(products!$A$1:$G$49,MATCH(orders!$D367,products!$A$1:$A$49,0),MATCH(orders!L$1,products!$A$1:$G$1,0))</f>
        <v>D</v>
      </c>
      <c r="M367" s="14">
        <f>INDEX(products!$A$1:$G$49,MATCH(orders!$D367,products!$A$1:$A$49,0),MATCH(orders!M$1,products!$A$1:$G$1,0))</f>
        <v>0.5</v>
      </c>
      <c r="N367" s="4">
        <f>INDEX(products!$A$1:$G$49,MATCH(orders!$D367,products!$A$1:$A$49,0),MATCH(orders!N$1,products!$A$1:$G$1,0))</f>
        <v>7.77</v>
      </c>
      <c r="O367" s="13">
        <f t="shared" si="25"/>
        <v>7.77</v>
      </c>
      <c r="P367" s="13">
        <f>_xlfn.XLOOKUP(Orders[[#This Row],[Product ID]],products!$A$1:$A$49,products!$G$1:$G$49,,0)</f>
        <v>1.0101</v>
      </c>
      <c r="Q367" s="13">
        <f t="shared" si="26"/>
        <v>1.0101</v>
      </c>
      <c r="R367" t="str">
        <f t="shared" si="28"/>
        <v>Liberica</v>
      </c>
      <c r="S367" t="str">
        <f t="shared" si="29"/>
        <v>Dark</v>
      </c>
      <c r="T367" t="str">
        <f>_xlfn.XLOOKUP(Orders[[#This Row],[Customer ID]],customers!$A$1:$A$1001,customers!$I$1:$I$1001,,0)</f>
        <v>No</v>
      </c>
    </row>
    <row r="368" spans="1:20" x14ac:dyDescent="0.35">
      <c r="A368" s="2" t="s">
        <v>2554</v>
      </c>
      <c r="B368" s="3">
        <v>43874</v>
      </c>
      <c r="C368" s="2" t="s">
        <v>2555</v>
      </c>
      <c r="D368" t="s">
        <v>6144</v>
      </c>
      <c r="E368" t="str">
        <f t="shared" si="27"/>
        <v>Excelsa-Dark-0.5</v>
      </c>
      <c r="F368" s="2">
        <v>6</v>
      </c>
      <c r="G368" s="2" t="str" cm="1">
        <f t="array" ref="G368">_xlfn.XLOOKUP(C368, customers!$A$1:A1367,customers!$B$1:B1367,,0)</f>
        <v>Saree Ellesworth</v>
      </c>
      <c r="H368" s="2" t="str" cm="1">
        <f t="array" ref="H368">IF(_xlfn.XLOOKUP(C368,customers!$A$1:A1367,customers!$C$1:C1367,,0) = 0,"", _xlfn.XLOOKUP(C368,customers!$A$1:A1367,customers!$C$1:C1367,,0))</f>
        <v/>
      </c>
      <c r="I368" s="2" t="str">
        <f>_xlfn.XLOOKUP(C368,customers!$A$1:$A$1001,customers!$G$1:$G$1001,,0)</f>
        <v>United States</v>
      </c>
      <c r="J368" s="2" t="str">
        <f>_xlfn.XLOOKUP(Orders[[#This Row],[Customer ID]],customers!$A$1:$A$1001,customers!$F$1:$F$1001,,0)</f>
        <v>Newport News</v>
      </c>
      <c r="K368" t="str">
        <f>INDEX(products!$A$1:$G$49,MATCH(orders!$D368,products!$A$1:$A$49,0),MATCH(orders!K$1,products!$A$1:$G$1,0))</f>
        <v>Exc</v>
      </c>
      <c r="L368" t="str">
        <f>INDEX(products!$A$1:$G$49,MATCH(orders!$D368,products!$A$1:$A$49,0),MATCH(orders!L$1,products!$A$1:$G$1,0))</f>
        <v>D</v>
      </c>
      <c r="M368" s="14">
        <f>INDEX(products!$A$1:$G$49,MATCH(orders!$D368,products!$A$1:$A$49,0),MATCH(orders!M$1,products!$A$1:$G$1,0))</f>
        <v>0.5</v>
      </c>
      <c r="N368" s="4">
        <f>INDEX(products!$A$1:$G$49,MATCH(orders!$D368,products!$A$1:$A$49,0),MATCH(orders!N$1,products!$A$1:$G$1,0))</f>
        <v>7.29</v>
      </c>
      <c r="O368" s="13">
        <f t="shared" si="25"/>
        <v>43.74</v>
      </c>
      <c r="P368" s="13">
        <f>_xlfn.XLOOKUP(Orders[[#This Row],[Product ID]],products!$A$1:$A$49,products!$G$1:$G$49,,0)</f>
        <v>0.80190000000000006</v>
      </c>
      <c r="Q368" s="13">
        <f t="shared" si="26"/>
        <v>4.8114000000000008</v>
      </c>
      <c r="R368" t="str">
        <f t="shared" si="28"/>
        <v>Execelsa</v>
      </c>
      <c r="S368" t="str">
        <f t="shared" si="29"/>
        <v>Dark</v>
      </c>
      <c r="T368" t="str">
        <f>_xlfn.XLOOKUP(Orders[[#This Row],[Customer ID]],customers!$A$1:$A$1001,customers!$I$1:$I$1001,,0)</f>
        <v>No</v>
      </c>
    </row>
    <row r="369" spans="1:20" x14ac:dyDescent="0.35">
      <c r="A369" s="2" t="s">
        <v>2559</v>
      </c>
      <c r="B369" s="3">
        <v>44393</v>
      </c>
      <c r="C369" s="2" t="s">
        <v>2560</v>
      </c>
      <c r="D369" t="s">
        <v>6159</v>
      </c>
      <c r="E369" t="str">
        <f t="shared" si="27"/>
        <v>Liberica-Medium-0.2</v>
      </c>
      <c r="F369" s="2">
        <v>2</v>
      </c>
      <c r="G369" s="2" t="str" cm="1">
        <f t="array" ref="G369">_xlfn.XLOOKUP(C369, customers!$A$1:A1368,customers!$B$1:B1368,,0)</f>
        <v>Silvio Iorizzi</v>
      </c>
      <c r="H369" s="2" t="str" cm="1">
        <f t="array" ref="H369">IF(_xlfn.XLOOKUP(C369,customers!$A$1:A1368,customers!$C$1:C1368,,0) = 0,"", _xlfn.XLOOKUP(C369,customers!$A$1:A1368,customers!$C$1:C1368,,0))</f>
        <v/>
      </c>
      <c r="I369" s="2" t="str">
        <f>_xlfn.XLOOKUP(C369,customers!$A$1:$A$1001,customers!$G$1:$G$1001,,0)</f>
        <v>United States</v>
      </c>
      <c r="J369" s="2" t="str">
        <f>_xlfn.XLOOKUP(Orders[[#This Row],[Customer ID]],customers!$A$1:$A$1001,customers!$F$1:$F$1001,,0)</f>
        <v>Spartanburg</v>
      </c>
      <c r="K369" t="str">
        <f>INDEX(products!$A$1:$G$49,MATCH(orders!$D369,products!$A$1:$A$49,0),MATCH(orders!K$1,products!$A$1:$G$1,0))</f>
        <v>Lib</v>
      </c>
      <c r="L369" t="str">
        <f>INDEX(products!$A$1:$G$49,MATCH(orders!$D369,products!$A$1:$A$49,0),MATCH(orders!L$1,products!$A$1:$G$1,0))</f>
        <v>M</v>
      </c>
      <c r="M369" s="14">
        <f>INDEX(products!$A$1:$G$49,MATCH(orders!$D369,products!$A$1:$A$49,0),MATCH(orders!M$1,products!$A$1:$G$1,0))</f>
        <v>0.2</v>
      </c>
      <c r="N369" s="4">
        <f>INDEX(products!$A$1:$G$49,MATCH(orders!$D369,products!$A$1:$A$49,0),MATCH(orders!N$1,products!$A$1:$G$1,0))</f>
        <v>4.3650000000000002</v>
      </c>
      <c r="O369" s="13">
        <f t="shared" si="25"/>
        <v>8.73</v>
      </c>
      <c r="P369" s="13">
        <f>_xlfn.XLOOKUP(Orders[[#This Row],[Product ID]],products!$A$1:$A$49,products!$G$1:$G$49,,0)</f>
        <v>0.56745000000000001</v>
      </c>
      <c r="Q369" s="13">
        <f t="shared" si="26"/>
        <v>1.1349</v>
      </c>
      <c r="R369" t="str">
        <f t="shared" si="28"/>
        <v>Liberica</v>
      </c>
      <c r="S369" t="str">
        <f t="shared" si="29"/>
        <v>Medium</v>
      </c>
      <c r="T369" t="str">
        <f>_xlfn.XLOOKUP(Orders[[#This Row],[Customer ID]],customers!$A$1:$A$1001,customers!$I$1:$I$1001,,0)</f>
        <v>Yes</v>
      </c>
    </row>
    <row r="370" spans="1:20" x14ac:dyDescent="0.35">
      <c r="A370" s="2" t="s">
        <v>2563</v>
      </c>
      <c r="B370" s="3">
        <v>44692</v>
      </c>
      <c r="C370" s="2" t="s">
        <v>2564</v>
      </c>
      <c r="D370" t="s">
        <v>6166</v>
      </c>
      <c r="E370" t="str">
        <f t="shared" si="27"/>
        <v>Excelsa-Medium-2.5</v>
      </c>
      <c r="F370" s="2">
        <v>2</v>
      </c>
      <c r="G370" s="2" t="str" cm="1">
        <f t="array" ref="G370">_xlfn.XLOOKUP(C370, customers!$A$1:A1369,customers!$B$1:B1369,,0)</f>
        <v>Leesa Flaonier</v>
      </c>
      <c r="H370" s="2" t="str" cm="1">
        <f t="array" ref="H370">IF(_xlfn.XLOOKUP(C370,customers!$A$1:A1369,customers!$C$1:C1369,,0) = 0,"", _xlfn.XLOOKUP(C370,customers!$A$1:A1369,customers!$C$1:C1369,,0))</f>
        <v>lflaoniera8@wordpress.org</v>
      </c>
      <c r="I370" s="2" t="str">
        <f>_xlfn.XLOOKUP(C370,customers!$A$1:$A$1001,customers!$G$1:$G$1001,,0)</f>
        <v>United States</v>
      </c>
      <c r="J370" s="2" t="str">
        <f>_xlfn.XLOOKUP(Orders[[#This Row],[Customer ID]],customers!$A$1:$A$1001,customers!$F$1:$F$1001,,0)</f>
        <v>Staten Island</v>
      </c>
      <c r="K370" t="str">
        <f>INDEX(products!$A$1:$G$49,MATCH(orders!$D370,products!$A$1:$A$49,0),MATCH(orders!K$1,products!$A$1:$G$1,0))</f>
        <v>Exc</v>
      </c>
      <c r="L370" t="str">
        <f>INDEX(products!$A$1:$G$49,MATCH(orders!$D370,products!$A$1:$A$49,0),MATCH(orders!L$1,products!$A$1:$G$1,0))</f>
        <v>M</v>
      </c>
      <c r="M370" s="14">
        <f>INDEX(products!$A$1:$G$49,MATCH(orders!$D370,products!$A$1:$A$49,0),MATCH(orders!M$1,products!$A$1:$G$1,0))</f>
        <v>2.5</v>
      </c>
      <c r="N370" s="4">
        <f>INDEX(products!$A$1:$G$49,MATCH(orders!$D370,products!$A$1:$A$49,0),MATCH(orders!N$1,products!$A$1:$G$1,0))</f>
        <v>31.624999999999996</v>
      </c>
      <c r="O370" s="13">
        <f t="shared" si="25"/>
        <v>63.249999999999993</v>
      </c>
      <c r="P370" s="13">
        <f>_xlfn.XLOOKUP(Orders[[#This Row],[Product ID]],products!$A$1:$A$49,products!$G$1:$G$49,,0)</f>
        <v>3.4787499999999998</v>
      </c>
      <c r="Q370" s="13">
        <f t="shared" si="26"/>
        <v>6.9574999999999996</v>
      </c>
      <c r="R370" t="str">
        <f t="shared" si="28"/>
        <v>Execelsa</v>
      </c>
      <c r="S370" t="str">
        <f t="shared" si="29"/>
        <v>Medium</v>
      </c>
      <c r="T370" t="str">
        <f>_xlfn.XLOOKUP(Orders[[#This Row],[Customer ID]],customers!$A$1:$A$1001,customers!$I$1:$I$1001,,0)</f>
        <v>No</v>
      </c>
    </row>
    <row r="371" spans="1:20" x14ac:dyDescent="0.35">
      <c r="A371" s="2" t="s">
        <v>2569</v>
      </c>
      <c r="B371" s="3">
        <v>43500</v>
      </c>
      <c r="C371" s="2" t="s">
        <v>2570</v>
      </c>
      <c r="D371" t="s">
        <v>6176</v>
      </c>
      <c r="E371" t="str">
        <f t="shared" si="27"/>
        <v>Excelsa-Light-0.5</v>
      </c>
      <c r="F371" s="2">
        <v>1</v>
      </c>
      <c r="G371" s="2" t="str" cm="1">
        <f t="array" ref="G371">_xlfn.XLOOKUP(C371, customers!$A$1:A1370,customers!$B$1:B1370,,0)</f>
        <v>Abba Pummell</v>
      </c>
      <c r="H371" s="2" t="str" cm="1">
        <f t="array" ref="H371">IF(_xlfn.XLOOKUP(C371,customers!$A$1:A1370,customers!$C$1:C1370,,0) = 0,"", _xlfn.XLOOKUP(C371,customers!$A$1:A1370,customers!$C$1:C1370,,0))</f>
        <v/>
      </c>
      <c r="I371" s="2" t="str">
        <f>_xlfn.XLOOKUP(C371,customers!$A$1:$A$1001,customers!$G$1:$G$1001,,0)</f>
        <v>United States</v>
      </c>
      <c r="J371" s="2" t="str">
        <f>_xlfn.XLOOKUP(Orders[[#This Row],[Customer ID]],customers!$A$1:$A$1001,customers!$F$1:$F$1001,,0)</f>
        <v>Las Vegas</v>
      </c>
      <c r="K371" t="str">
        <f>INDEX(products!$A$1:$G$49,MATCH(orders!$D371,products!$A$1:$A$49,0),MATCH(orders!K$1,products!$A$1:$G$1,0))</f>
        <v>Exc</v>
      </c>
      <c r="L371" t="str">
        <f>INDEX(products!$A$1:$G$49,MATCH(orders!$D371,products!$A$1:$A$49,0),MATCH(orders!L$1,products!$A$1:$G$1,0))</f>
        <v>L</v>
      </c>
      <c r="M371" s="14">
        <f>INDEX(products!$A$1:$G$49,MATCH(orders!$D371,products!$A$1:$A$49,0),MATCH(orders!M$1,products!$A$1:$G$1,0))</f>
        <v>0.5</v>
      </c>
      <c r="N371" s="4">
        <f>INDEX(products!$A$1:$G$49,MATCH(orders!$D371,products!$A$1:$A$49,0),MATCH(orders!N$1,products!$A$1:$G$1,0))</f>
        <v>8.91</v>
      </c>
      <c r="O371" s="13">
        <f t="shared" si="25"/>
        <v>8.91</v>
      </c>
      <c r="P371" s="13">
        <f>_xlfn.XLOOKUP(Orders[[#This Row],[Product ID]],products!$A$1:$A$49,products!$G$1:$G$49,,0)</f>
        <v>0.98009999999999997</v>
      </c>
      <c r="Q371" s="13">
        <f t="shared" si="26"/>
        <v>0.98009999999999997</v>
      </c>
      <c r="R371" t="str">
        <f t="shared" si="28"/>
        <v>Execelsa</v>
      </c>
      <c r="S371" t="str">
        <f t="shared" si="29"/>
        <v>Light</v>
      </c>
      <c r="T371" t="str">
        <f>_xlfn.XLOOKUP(Orders[[#This Row],[Customer ID]],customers!$A$1:$A$1001,customers!$I$1:$I$1001,,0)</f>
        <v>Yes</v>
      </c>
    </row>
    <row r="372" spans="1:20" x14ac:dyDescent="0.35">
      <c r="A372" s="2" t="s">
        <v>2573</v>
      </c>
      <c r="B372" s="3">
        <v>43501</v>
      </c>
      <c r="C372" s="2" t="s">
        <v>2574</v>
      </c>
      <c r="D372" t="s">
        <v>6183</v>
      </c>
      <c r="E372" t="str">
        <f t="shared" si="27"/>
        <v>Excelsa-Dark-1</v>
      </c>
      <c r="F372" s="2">
        <v>2</v>
      </c>
      <c r="G372" s="2" t="str" cm="1">
        <f t="array" ref="G372">_xlfn.XLOOKUP(C372, customers!$A$1:A1371,customers!$B$1:B1371,,0)</f>
        <v>Corinna Catcheside</v>
      </c>
      <c r="H372" s="2" t="str" cm="1">
        <f t="array" ref="H372">IF(_xlfn.XLOOKUP(C372,customers!$A$1:A1371,customers!$C$1:C1371,,0) = 0,"", _xlfn.XLOOKUP(C372,customers!$A$1:A1371,customers!$C$1:C1371,,0))</f>
        <v>ccatchesideaa@macromedia.com</v>
      </c>
      <c r="I372" s="2" t="str">
        <f>_xlfn.XLOOKUP(C372,customers!$A$1:$A$1001,customers!$G$1:$G$1001,,0)</f>
        <v>United States</v>
      </c>
      <c r="J372" s="2" t="str">
        <f>_xlfn.XLOOKUP(Orders[[#This Row],[Customer ID]],customers!$A$1:$A$1001,customers!$F$1:$F$1001,,0)</f>
        <v>Salt Lake City</v>
      </c>
      <c r="K372" t="str">
        <f>INDEX(products!$A$1:$G$49,MATCH(orders!$D372,products!$A$1:$A$49,0),MATCH(orders!K$1,products!$A$1:$G$1,0))</f>
        <v>Exc</v>
      </c>
      <c r="L372" t="str">
        <f>INDEX(products!$A$1:$G$49,MATCH(orders!$D372,products!$A$1:$A$49,0),MATCH(orders!L$1,products!$A$1:$G$1,0))</f>
        <v>D</v>
      </c>
      <c r="M372" s="14">
        <f>INDEX(products!$A$1:$G$49,MATCH(orders!$D372,products!$A$1:$A$49,0),MATCH(orders!M$1,products!$A$1:$G$1,0))</f>
        <v>1</v>
      </c>
      <c r="N372" s="4">
        <f>INDEX(products!$A$1:$G$49,MATCH(orders!$D372,products!$A$1:$A$49,0),MATCH(orders!N$1,products!$A$1:$G$1,0))</f>
        <v>12.15</v>
      </c>
      <c r="O372" s="13">
        <f t="shared" si="25"/>
        <v>24.3</v>
      </c>
      <c r="P372" s="13">
        <f>_xlfn.XLOOKUP(Orders[[#This Row],[Product ID]],products!$A$1:$A$49,products!$G$1:$G$49,,0)</f>
        <v>1.3365</v>
      </c>
      <c r="Q372" s="13">
        <f t="shared" si="26"/>
        <v>2.673</v>
      </c>
      <c r="R372" t="str">
        <f t="shared" si="28"/>
        <v>Execelsa</v>
      </c>
      <c r="S372" t="str">
        <f t="shared" si="29"/>
        <v>Dark</v>
      </c>
      <c r="T372" t="str">
        <f>_xlfn.XLOOKUP(Orders[[#This Row],[Customer ID]],customers!$A$1:$A$1001,customers!$I$1:$I$1001,,0)</f>
        <v>Yes</v>
      </c>
    </row>
    <row r="373" spans="1:20" x14ac:dyDescent="0.35">
      <c r="A373" s="2" t="s">
        <v>2579</v>
      </c>
      <c r="B373" s="3">
        <v>44705</v>
      </c>
      <c r="C373" s="2" t="s">
        <v>2580</v>
      </c>
      <c r="D373" t="s">
        <v>6180</v>
      </c>
      <c r="E373" t="str">
        <f t="shared" si="27"/>
        <v>Arabica-Light-0.5</v>
      </c>
      <c r="F373" s="2">
        <v>6</v>
      </c>
      <c r="G373" s="2" t="str" cm="1">
        <f t="array" ref="G373">_xlfn.XLOOKUP(C373, customers!$A$1:A1372,customers!$B$1:B1372,,0)</f>
        <v>Cortney Gibbonson</v>
      </c>
      <c r="H373" s="2" t="str" cm="1">
        <f t="array" ref="H373">IF(_xlfn.XLOOKUP(C373,customers!$A$1:A1372,customers!$C$1:C1372,,0) = 0,"", _xlfn.XLOOKUP(C373,customers!$A$1:A1372,customers!$C$1:C1372,,0))</f>
        <v>cgibbonsonab@accuweather.com</v>
      </c>
      <c r="I373" s="2" t="str">
        <f>_xlfn.XLOOKUP(C373,customers!$A$1:$A$1001,customers!$G$1:$G$1001,,0)</f>
        <v>United States</v>
      </c>
      <c r="J373" s="2" t="str">
        <f>_xlfn.XLOOKUP(Orders[[#This Row],[Customer ID]],customers!$A$1:$A$1001,customers!$F$1:$F$1001,,0)</f>
        <v>Seattle</v>
      </c>
      <c r="K373" t="str">
        <f>INDEX(products!$A$1:$G$49,MATCH(orders!$D373,products!$A$1:$A$49,0),MATCH(orders!K$1,products!$A$1:$G$1,0))</f>
        <v>Ara</v>
      </c>
      <c r="L373" t="str">
        <f>INDEX(products!$A$1:$G$49,MATCH(orders!$D373,products!$A$1:$A$49,0),MATCH(orders!L$1,products!$A$1:$G$1,0))</f>
        <v>L</v>
      </c>
      <c r="M373" s="14">
        <f>INDEX(products!$A$1:$G$49,MATCH(orders!$D373,products!$A$1:$A$49,0),MATCH(orders!M$1,products!$A$1:$G$1,0))</f>
        <v>0.5</v>
      </c>
      <c r="N373" s="4">
        <f>INDEX(products!$A$1:$G$49,MATCH(orders!$D373,products!$A$1:$A$49,0),MATCH(orders!N$1,products!$A$1:$G$1,0))</f>
        <v>7.77</v>
      </c>
      <c r="O373" s="13">
        <f t="shared" si="25"/>
        <v>46.62</v>
      </c>
      <c r="P373" s="13">
        <f>_xlfn.XLOOKUP(Orders[[#This Row],[Product ID]],products!$A$1:$A$49,products!$G$1:$G$49,,0)</f>
        <v>0.69929999999999992</v>
      </c>
      <c r="Q373" s="13">
        <f t="shared" si="26"/>
        <v>4.1957999999999993</v>
      </c>
      <c r="R373" t="str">
        <f t="shared" si="28"/>
        <v>Arabica</v>
      </c>
      <c r="S373" t="str">
        <f t="shared" si="29"/>
        <v>Light</v>
      </c>
      <c r="T373" t="str">
        <f>_xlfn.XLOOKUP(Orders[[#This Row],[Customer ID]],customers!$A$1:$A$1001,customers!$I$1:$I$1001,,0)</f>
        <v>Yes</v>
      </c>
    </row>
    <row r="374" spans="1:20" x14ac:dyDescent="0.35">
      <c r="A374" s="2" t="s">
        <v>2585</v>
      </c>
      <c r="B374" s="3">
        <v>44108</v>
      </c>
      <c r="C374" s="2" t="s">
        <v>2586</v>
      </c>
      <c r="D374" t="s">
        <v>6173</v>
      </c>
      <c r="E374" t="str">
        <f t="shared" si="27"/>
        <v>Robusta-Light-0.5</v>
      </c>
      <c r="F374" s="2">
        <v>6</v>
      </c>
      <c r="G374" s="2" t="str" cm="1">
        <f t="array" ref="G374">_xlfn.XLOOKUP(C374, customers!$A$1:A1373,customers!$B$1:B1373,,0)</f>
        <v>Terri Farra</v>
      </c>
      <c r="H374" s="2" t="str" cm="1">
        <f t="array" ref="H374">IF(_xlfn.XLOOKUP(C374,customers!$A$1:A1373,customers!$C$1:C1373,,0) = 0,"", _xlfn.XLOOKUP(C374,customers!$A$1:A1373,customers!$C$1:C1373,,0))</f>
        <v>tfarraac@behance.net</v>
      </c>
      <c r="I374" s="2" t="str">
        <f>_xlfn.XLOOKUP(C374,customers!$A$1:$A$1001,customers!$G$1:$G$1001,,0)</f>
        <v>United States</v>
      </c>
      <c r="J374" s="2" t="str">
        <f>_xlfn.XLOOKUP(Orders[[#This Row],[Customer ID]],customers!$A$1:$A$1001,customers!$F$1:$F$1001,,0)</f>
        <v>Odessa</v>
      </c>
      <c r="K374" t="str">
        <f>INDEX(products!$A$1:$G$49,MATCH(orders!$D374,products!$A$1:$A$49,0),MATCH(orders!K$1,products!$A$1:$G$1,0))</f>
        <v>Rob</v>
      </c>
      <c r="L374" t="str">
        <f>INDEX(products!$A$1:$G$49,MATCH(orders!$D374,products!$A$1:$A$49,0),MATCH(orders!L$1,products!$A$1:$G$1,0))</f>
        <v>L</v>
      </c>
      <c r="M374" s="14">
        <f>INDEX(products!$A$1:$G$49,MATCH(orders!$D374,products!$A$1:$A$49,0),MATCH(orders!M$1,products!$A$1:$G$1,0))</f>
        <v>0.5</v>
      </c>
      <c r="N374" s="4">
        <f>INDEX(products!$A$1:$G$49,MATCH(orders!$D374,products!$A$1:$A$49,0),MATCH(orders!N$1,products!$A$1:$G$1,0))</f>
        <v>7.169999999999999</v>
      </c>
      <c r="O374" s="13">
        <f t="shared" si="25"/>
        <v>43.019999999999996</v>
      </c>
      <c r="P374" s="13">
        <f>_xlfn.XLOOKUP(Orders[[#This Row],[Product ID]],products!$A$1:$A$49,products!$G$1:$G$49,,0)</f>
        <v>0.43019999999999992</v>
      </c>
      <c r="Q374" s="13">
        <f t="shared" si="26"/>
        <v>2.5811999999999995</v>
      </c>
      <c r="R374" t="str">
        <f t="shared" si="28"/>
        <v>Robusta</v>
      </c>
      <c r="S374" t="str">
        <f t="shared" si="29"/>
        <v>Light</v>
      </c>
      <c r="T374" t="str">
        <f>_xlfn.XLOOKUP(Orders[[#This Row],[Customer ID]],customers!$A$1:$A$1001,customers!$I$1:$I$1001,,0)</f>
        <v>No</v>
      </c>
    </row>
    <row r="375" spans="1:20" x14ac:dyDescent="0.35">
      <c r="A375" s="2" t="s">
        <v>2591</v>
      </c>
      <c r="B375" s="3">
        <v>44742</v>
      </c>
      <c r="C375" s="2" t="s">
        <v>2592</v>
      </c>
      <c r="D375" t="s">
        <v>6158</v>
      </c>
      <c r="E375" t="str">
        <f t="shared" si="27"/>
        <v>Arabica-Dark-0.5</v>
      </c>
      <c r="F375" s="2">
        <v>3</v>
      </c>
      <c r="G375" s="2" t="str" cm="1">
        <f t="array" ref="G375">_xlfn.XLOOKUP(C375, customers!$A$1:A1374,customers!$B$1:B1374,,0)</f>
        <v>Corney Curme</v>
      </c>
      <c r="H375" s="2" t="str" cm="1">
        <f t="array" ref="H375">IF(_xlfn.XLOOKUP(C375,customers!$A$1:A1374,customers!$C$1:C1374,,0) = 0,"", _xlfn.XLOOKUP(C375,customers!$A$1:A1374,customers!$C$1:C1374,,0))</f>
        <v/>
      </c>
      <c r="I375" s="2" t="str">
        <f>_xlfn.XLOOKUP(C375,customers!$A$1:$A$1001,customers!$G$1:$G$1001,,0)</f>
        <v>Ireland</v>
      </c>
      <c r="J375" s="2" t="str">
        <f>_xlfn.XLOOKUP(Orders[[#This Row],[Customer ID]],customers!$A$1:$A$1001,customers!$F$1:$F$1001,,0)</f>
        <v>Castleknock</v>
      </c>
      <c r="K375" t="str">
        <f>INDEX(products!$A$1:$G$49,MATCH(orders!$D375,products!$A$1:$A$49,0),MATCH(orders!K$1,products!$A$1:$G$1,0))</f>
        <v>Ara</v>
      </c>
      <c r="L375" t="str">
        <f>INDEX(products!$A$1:$G$49,MATCH(orders!$D375,products!$A$1:$A$49,0),MATCH(orders!L$1,products!$A$1:$G$1,0))</f>
        <v>D</v>
      </c>
      <c r="M375" s="14">
        <f>INDEX(products!$A$1:$G$49,MATCH(orders!$D375,products!$A$1:$A$49,0),MATCH(orders!M$1,products!$A$1:$G$1,0))</f>
        <v>0.5</v>
      </c>
      <c r="N375" s="4">
        <f>INDEX(products!$A$1:$G$49,MATCH(orders!$D375,products!$A$1:$A$49,0),MATCH(orders!N$1,products!$A$1:$G$1,0))</f>
        <v>5.97</v>
      </c>
      <c r="O375" s="13">
        <f t="shared" si="25"/>
        <v>17.91</v>
      </c>
      <c r="P375" s="13">
        <f>_xlfn.XLOOKUP(Orders[[#This Row],[Product ID]],products!$A$1:$A$49,products!$G$1:$G$49,,0)</f>
        <v>0.5373</v>
      </c>
      <c r="Q375" s="13">
        <f t="shared" si="26"/>
        <v>1.6118999999999999</v>
      </c>
      <c r="R375" t="str">
        <f t="shared" si="28"/>
        <v>Arabica</v>
      </c>
      <c r="S375" t="str">
        <f t="shared" si="29"/>
        <v>Dark</v>
      </c>
      <c r="T375" t="str">
        <f>_xlfn.XLOOKUP(Orders[[#This Row],[Customer ID]],customers!$A$1:$A$1001,customers!$I$1:$I$1001,,0)</f>
        <v>Yes</v>
      </c>
    </row>
    <row r="376" spans="1:20" x14ac:dyDescent="0.35">
      <c r="A376" s="2" t="s">
        <v>2597</v>
      </c>
      <c r="B376" s="3">
        <v>44125</v>
      </c>
      <c r="C376" s="2" t="s">
        <v>2598</v>
      </c>
      <c r="D376" t="s">
        <v>6161</v>
      </c>
      <c r="E376" t="str">
        <f t="shared" si="27"/>
        <v>Liberica-Light-0.5</v>
      </c>
      <c r="F376" s="2">
        <v>4</v>
      </c>
      <c r="G376" s="2" t="str" cm="1">
        <f t="array" ref="G376">_xlfn.XLOOKUP(C376, customers!$A$1:A1375,customers!$B$1:B1375,,0)</f>
        <v>Gothart Bamfield</v>
      </c>
      <c r="H376" s="2" t="str" cm="1">
        <f t="array" ref="H376">IF(_xlfn.XLOOKUP(C376,customers!$A$1:A1375,customers!$C$1:C1375,,0) = 0,"", _xlfn.XLOOKUP(C376,customers!$A$1:A1375,customers!$C$1:C1375,,0))</f>
        <v>gbamfieldae@yellowpages.com</v>
      </c>
      <c r="I376" s="2" t="str">
        <f>_xlfn.XLOOKUP(C376,customers!$A$1:$A$1001,customers!$G$1:$G$1001,,0)</f>
        <v>United States</v>
      </c>
      <c r="J376" s="2" t="str">
        <f>_xlfn.XLOOKUP(Orders[[#This Row],[Customer ID]],customers!$A$1:$A$1001,customers!$F$1:$F$1001,,0)</f>
        <v>Irving</v>
      </c>
      <c r="K376" t="str">
        <f>INDEX(products!$A$1:$G$49,MATCH(orders!$D376,products!$A$1:$A$49,0),MATCH(orders!K$1,products!$A$1:$G$1,0))</f>
        <v>Lib</v>
      </c>
      <c r="L376" t="str">
        <f>INDEX(products!$A$1:$G$49,MATCH(orders!$D376,products!$A$1:$A$49,0),MATCH(orders!L$1,products!$A$1:$G$1,0))</f>
        <v>L</v>
      </c>
      <c r="M376" s="14">
        <f>INDEX(products!$A$1:$G$49,MATCH(orders!$D376,products!$A$1:$A$49,0),MATCH(orders!M$1,products!$A$1:$G$1,0))</f>
        <v>0.5</v>
      </c>
      <c r="N376" s="4">
        <f>INDEX(products!$A$1:$G$49,MATCH(orders!$D376,products!$A$1:$A$49,0),MATCH(orders!N$1,products!$A$1:$G$1,0))</f>
        <v>9.51</v>
      </c>
      <c r="O376" s="13">
        <f t="shared" si="25"/>
        <v>38.04</v>
      </c>
      <c r="P376" s="13">
        <f>_xlfn.XLOOKUP(Orders[[#This Row],[Product ID]],products!$A$1:$A$49,products!$G$1:$G$49,,0)</f>
        <v>1.2363</v>
      </c>
      <c r="Q376" s="13">
        <f t="shared" si="26"/>
        <v>4.9451999999999998</v>
      </c>
      <c r="R376" t="str">
        <f t="shared" si="28"/>
        <v>Liberica</v>
      </c>
      <c r="S376" t="str">
        <f t="shared" si="29"/>
        <v>Light</v>
      </c>
      <c r="T376" t="str">
        <f>_xlfn.XLOOKUP(Orders[[#This Row],[Customer ID]],customers!$A$1:$A$1001,customers!$I$1:$I$1001,,0)</f>
        <v>Yes</v>
      </c>
    </row>
    <row r="377" spans="1:20" x14ac:dyDescent="0.35">
      <c r="A377" s="2" t="s">
        <v>2603</v>
      </c>
      <c r="B377" s="3">
        <v>44120</v>
      </c>
      <c r="C377" s="2" t="s">
        <v>2604</v>
      </c>
      <c r="D377" t="s">
        <v>6152</v>
      </c>
      <c r="E377" t="str">
        <f t="shared" si="27"/>
        <v>Arabica-Medium-0.2</v>
      </c>
      <c r="F377" s="2">
        <v>2</v>
      </c>
      <c r="G377" s="2" t="str" cm="1">
        <f t="array" ref="G377">_xlfn.XLOOKUP(C377, customers!$A$1:A1376,customers!$B$1:B1376,,0)</f>
        <v>Waylin Hollingdale</v>
      </c>
      <c r="H377" s="2" t="str" cm="1">
        <f t="array" ref="H377">IF(_xlfn.XLOOKUP(C377,customers!$A$1:A1376,customers!$C$1:C1376,,0) = 0,"", _xlfn.XLOOKUP(C377,customers!$A$1:A1376,customers!$C$1:C1376,,0))</f>
        <v>whollingdaleaf@about.me</v>
      </c>
      <c r="I377" s="2" t="str">
        <f>_xlfn.XLOOKUP(C377,customers!$A$1:$A$1001,customers!$G$1:$G$1001,,0)</f>
        <v>United States</v>
      </c>
      <c r="J377" s="2" t="str">
        <f>_xlfn.XLOOKUP(Orders[[#This Row],[Customer ID]],customers!$A$1:$A$1001,customers!$F$1:$F$1001,,0)</f>
        <v>Dayton</v>
      </c>
      <c r="K377" t="str">
        <f>INDEX(products!$A$1:$G$49,MATCH(orders!$D377,products!$A$1:$A$49,0),MATCH(orders!K$1,products!$A$1:$G$1,0))</f>
        <v>Ara</v>
      </c>
      <c r="L377" t="str">
        <f>INDEX(products!$A$1:$G$49,MATCH(orders!$D377,products!$A$1:$A$49,0),MATCH(orders!L$1,products!$A$1:$G$1,0))</f>
        <v>M</v>
      </c>
      <c r="M377" s="14">
        <f>INDEX(products!$A$1:$G$49,MATCH(orders!$D377,products!$A$1:$A$49,0),MATCH(orders!M$1,products!$A$1:$G$1,0))</f>
        <v>0.2</v>
      </c>
      <c r="N377" s="4">
        <f>INDEX(products!$A$1:$G$49,MATCH(orders!$D377,products!$A$1:$A$49,0),MATCH(orders!N$1,products!$A$1:$G$1,0))</f>
        <v>3.375</v>
      </c>
      <c r="O377" s="13">
        <f t="shared" si="25"/>
        <v>6.75</v>
      </c>
      <c r="P377" s="13">
        <f>_xlfn.XLOOKUP(Orders[[#This Row],[Product ID]],products!$A$1:$A$49,products!$G$1:$G$49,,0)</f>
        <v>0.30374999999999996</v>
      </c>
      <c r="Q377" s="13">
        <f t="shared" si="26"/>
        <v>0.60749999999999993</v>
      </c>
      <c r="R377" t="str">
        <f t="shared" si="28"/>
        <v>Arabica</v>
      </c>
      <c r="S377" t="str">
        <f t="shared" si="29"/>
        <v>Medium</v>
      </c>
      <c r="T377" t="str">
        <f>_xlfn.XLOOKUP(Orders[[#This Row],[Customer ID]],customers!$A$1:$A$1001,customers!$I$1:$I$1001,,0)</f>
        <v>Yes</v>
      </c>
    </row>
    <row r="378" spans="1:20" x14ac:dyDescent="0.35">
      <c r="A378" s="2" t="s">
        <v>2609</v>
      </c>
      <c r="B378" s="3">
        <v>44097</v>
      </c>
      <c r="C378" s="2" t="s">
        <v>2610</v>
      </c>
      <c r="D378" t="s">
        <v>6146</v>
      </c>
      <c r="E378" t="str">
        <f t="shared" si="27"/>
        <v>Robusta-Medium-0.5</v>
      </c>
      <c r="F378" s="2">
        <v>1</v>
      </c>
      <c r="G378" s="2" t="str" cm="1">
        <f t="array" ref="G378">_xlfn.XLOOKUP(C378, customers!$A$1:A1377,customers!$B$1:B1377,,0)</f>
        <v>Judd De Leek</v>
      </c>
      <c r="H378" s="2" t="str" cm="1">
        <f t="array" ref="H378">IF(_xlfn.XLOOKUP(C378,customers!$A$1:A1377,customers!$C$1:C1377,,0) = 0,"", _xlfn.XLOOKUP(C378,customers!$A$1:A1377,customers!$C$1:C1377,,0))</f>
        <v>jdeag@xrea.com</v>
      </c>
      <c r="I378" s="2" t="str">
        <f>_xlfn.XLOOKUP(C378,customers!$A$1:$A$1001,customers!$G$1:$G$1001,,0)</f>
        <v>United States</v>
      </c>
      <c r="J378" s="2" t="str">
        <f>_xlfn.XLOOKUP(Orders[[#This Row],[Customer ID]],customers!$A$1:$A$1001,customers!$F$1:$F$1001,,0)</f>
        <v>Grand Rapids</v>
      </c>
      <c r="K378" t="str">
        <f>INDEX(products!$A$1:$G$49,MATCH(orders!$D378,products!$A$1:$A$49,0),MATCH(orders!K$1,products!$A$1:$G$1,0))</f>
        <v>Rob</v>
      </c>
      <c r="L378" t="str">
        <f>INDEX(products!$A$1:$G$49,MATCH(orders!$D378,products!$A$1:$A$49,0),MATCH(orders!L$1,products!$A$1:$G$1,0))</f>
        <v>M</v>
      </c>
      <c r="M378" s="14">
        <f>INDEX(products!$A$1:$G$49,MATCH(orders!$D378,products!$A$1:$A$49,0),MATCH(orders!M$1,products!$A$1:$G$1,0))</f>
        <v>0.5</v>
      </c>
      <c r="N378" s="4">
        <f>INDEX(products!$A$1:$G$49,MATCH(orders!$D378,products!$A$1:$A$49,0),MATCH(orders!N$1,products!$A$1:$G$1,0))</f>
        <v>5.97</v>
      </c>
      <c r="O378" s="13">
        <f t="shared" si="25"/>
        <v>5.97</v>
      </c>
      <c r="P378" s="13">
        <f>_xlfn.XLOOKUP(Orders[[#This Row],[Product ID]],products!$A$1:$A$49,products!$G$1:$G$49,,0)</f>
        <v>0.35819999999999996</v>
      </c>
      <c r="Q378" s="13">
        <f t="shared" si="26"/>
        <v>0.35819999999999996</v>
      </c>
      <c r="R378" t="str">
        <f t="shared" si="28"/>
        <v>Robusta</v>
      </c>
      <c r="S378" t="str">
        <f t="shared" si="29"/>
        <v>Medium</v>
      </c>
      <c r="T378" t="str">
        <f>_xlfn.XLOOKUP(Orders[[#This Row],[Customer ID]],customers!$A$1:$A$1001,customers!$I$1:$I$1001,,0)</f>
        <v>Yes</v>
      </c>
    </row>
    <row r="379" spans="1:20" x14ac:dyDescent="0.35">
      <c r="A379" s="2" t="s">
        <v>2615</v>
      </c>
      <c r="B379" s="3">
        <v>43532</v>
      </c>
      <c r="C379" s="2" t="s">
        <v>2616</v>
      </c>
      <c r="D379" t="s">
        <v>6163</v>
      </c>
      <c r="E379" t="str">
        <f t="shared" si="27"/>
        <v>Robusta-Dark-0.2</v>
      </c>
      <c r="F379" s="2">
        <v>3</v>
      </c>
      <c r="G379" s="2" t="str" cm="1">
        <f t="array" ref="G379">_xlfn.XLOOKUP(C379, customers!$A$1:A1378,customers!$B$1:B1378,,0)</f>
        <v>Vanya Skullet</v>
      </c>
      <c r="H379" s="2" t="str" cm="1">
        <f t="array" ref="H379">IF(_xlfn.XLOOKUP(C379,customers!$A$1:A1378,customers!$C$1:C1378,,0) = 0,"", _xlfn.XLOOKUP(C379,customers!$A$1:A1378,customers!$C$1:C1378,,0))</f>
        <v>vskulletah@tinyurl.com</v>
      </c>
      <c r="I379" s="2" t="str">
        <f>_xlfn.XLOOKUP(C379,customers!$A$1:$A$1001,customers!$G$1:$G$1001,,0)</f>
        <v>Ireland</v>
      </c>
      <c r="J379" s="2" t="str">
        <f>_xlfn.XLOOKUP(Orders[[#This Row],[Customer ID]],customers!$A$1:$A$1001,customers!$F$1:$F$1001,,0)</f>
        <v>Balally</v>
      </c>
      <c r="K379" t="str">
        <f>INDEX(products!$A$1:$G$49,MATCH(orders!$D379,products!$A$1:$A$49,0),MATCH(orders!K$1,products!$A$1:$G$1,0))</f>
        <v>Rob</v>
      </c>
      <c r="L379" t="str">
        <f>INDEX(products!$A$1:$G$49,MATCH(orders!$D379,products!$A$1:$A$49,0),MATCH(orders!L$1,products!$A$1:$G$1,0))</f>
        <v>D</v>
      </c>
      <c r="M379" s="14">
        <f>INDEX(products!$A$1:$G$49,MATCH(orders!$D379,products!$A$1:$A$49,0),MATCH(orders!M$1,products!$A$1:$G$1,0))</f>
        <v>0.2</v>
      </c>
      <c r="N379" s="4">
        <f>INDEX(products!$A$1:$G$49,MATCH(orders!$D379,products!$A$1:$A$49,0),MATCH(orders!N$1,products!$A$1:$G$1,0))</f>
        <v>2.6849999999999996</v>
      </c>
      <c r="O379" s="13">
        <f t="shared" si="25"/>
        <v>8.0549999999999997</v>
      </c>
      <c r="P379" s="13">
        <f>_xlfn.XLOOKUP(Orders[[#This Row],[Product ID]],products!$A$1:$A$49,products!$G$1:$G$49,,0)</f>
        <v>0.16109999999999997</v>
      </c>
      <c r="Q379" s="13">
        <f t="shared" si="26"/>
        <v>0.4832999999999999</v>
      </c>
      <c r="R379" t="str">
        <f t="shared" si="28"/>
        <v>Robusta</v>
      </c>
      <c r="S379" t="str">
        <f t="shared" si="29"/>
        <v>Dark</v>
      </c>
      <c r="T379" t="str">
        <f>_xlfn.XLOOKUP(Orders[[#This Row],[Customer ID]],customers!$A$1:$A$1001,customers!$I$1:$I$1001,,0)</f>
        <v>No</v>
      </c>
    </row>
    <row r="380" spans="1:20" x14ac:dyDescent="0.35">
      <c r="A380" s="2" t="s">
        <v>2621</v>
      </c>
      <c r="B380" s="3">
        <v>44377</v>
      </c>
      <c r="C380" s="2" t="s">
        <v>2622</v>
      </c>
      <c r="D380" t="s">
        <v>6180</v>
      </c>
      <c r="E380" t="str">
        <f t="shared" si="27"/>
        <v>Arabica-Light-0.5</v>
      </c>
      <c r="F380" s="2">
        <v>3</v>
      </c>
      <c r="G380" s="2" t="str" cm="1">
        <f t="array" ref="G380">_xlfn.XLOOKUP(C380, customers!$A$1:A1379,customers!$B$1:B1379,,0)</f>
        <v>Jany Rudeforth</v>
      </c>
      <c r="H380" s="2" t="str" cm="1">
        <f t="array" ref="H380">IF(_xlfn.XLOOKUP(C380,customers!$A$1:A1379,customers!$C$1:C1379,,0) = 0,"", _xlfn.XLOOKUP(C380,customers!$A$1:A1379,customers!$C$1:C1379,,0))</f>
        <v>jrudeforthai@wunderground.com</v>
      </c>
      <c r="I380" s="2" t="str">
        <f>_xlfn.XLOOKUP(C380,customers!$A$1:$A$1001,customers!$G$1:$G$1001,,0)</f>
        <v>Ireland</v>
      </c>
      <c r="J380" s="2" t="str">
        <f>_xlfn.XLOOKUP(Orders[[#This Row],[Customer ID]],customers!$A$1:$A$1001,customers!$F$1:$F$1001,,0)</f>
        <v>Tullyallen</v>
      </c>
      <c r="K380" t="str">
        <f>INDEX(products!$A$1:$G$49,MATCH(orders!$D380,products!$A$1:$A$49,0),MATCH(orders!K$1,products!$A$1:$G$1,0))</f>
        <v>Ara</v>
      </c>
      <c r="L380" t="str">
        <f>INDEX(products!$A$1:$G$49,MATCH(orders!$D380,products!$A$1:$A$49,0),MATCH(orders!L$1,products!$A$1:$G$1,0))</f>
        <v>L</v>
      </c>
      <c r="M380" s="14">
        <f>INDEX(products!$A$1:$G$49,MATCH(orders!$D380,products!$A$1:$A$49,0),MATCH(orders!M$1,products!$A$1:$G$1,0))</f>
        <v>0.5</v>
      </c>
      <c r="N380" s="4">
        <f>INDEX(products!$A$1:$G$49,MATCH(orders!$D380,products!$A$1:$A$49,0),MATCH(orders!N$1,products!$A$1:$G$1,0))</f>
        <v>7.77</v>
      </c>
      <c r="O380" s="13">
        <f t="shared" si="25"/>
        <v>23.31</v>
      </c>
      <c r="P380" s="13">
        <f>_xlfn.XLOOKUP(Orders[[#This Row],[Product ID]],products!$A$1:$A$49,products!$G$1:$G$49,,0)</f>
        <v>0.69929999999999992</v>
      </c>
      <c r="Q380" s="13">
        <f t="shared" si="26"/>
        <v>2.0978999999999997</v>
      </c>
      <c r="R380" t="str">
        <f t="shared" si="28"/>
        <v>Arabica</v>
      </c>
      <c r="S380" t="str">
        <f t="shared" si="29"/>
        <v>Light</v>
      </c>
      <c r="T380" t="str">
        <f>_xlfn.XLOOKUP(Orders[[#This Row],[Customer ID]],customers!$A$1:$A$1001,customers!$I$1:$I$1001,,0)</f>
        <v>Yes</v>
      </c>
    </row>
    <row r="381" spans="1:20" x14ac:dyDescent="0.35">
      <c r="A381" s="2" t="s">
        <v>2627</v>
      </c>
      <c r="B381" s="3">
        <v>43690</v>
      </c>
      <c r="C381" s="2" t="s">
        <v>2628</v>
      </c>
      <c r="D381" t="s">
        <v>6173</v>
      </c>
      <c r="E381" t="str">
        <f t="shared" si="27"/>
        <v>Robusta-Light-0.5</v>
      </c>
      <c r="F381" s="2">
        <v>6</v>
      </c>
      <c r="G381" s="2" t="str" cm="1">
        <f t="array" ref="G381">_xlfn.XLOOKUP(C381, customers!$A$1:A1380,customers!$B$1:B1380,,0)</f>
        <v>Ashbey Tomaszewski</v>
      </c>
      <c r="H381" s="2" t="str" cm="1">
        <f t="array" ref="H381">IF(_xlfn.XLOOKUP(C381,customers!$A$1:A1380,customers!$C$1:C1380,,0) = 0,"", _xlfn.XLOOKUP(C381,customers!$A$1:A1380,customers!$C$1:C1380,,0))</f>
        <v>atomaszewskiaj@answers.com</v>
      </c>
      <c r="I381" s="2" t="str">
        <f>_xlfn.XLOOKUP(C381,customers!$A$1:$A$1001,customers!$G$1:$G$1001,,0)</f>
        <v>United Kingdom</v>
      </c>
      <c r="J381" s="2" t="str">
        <f>_xlfn.XLOOKUP(Orders[[#This Row],[Customer ID]],customers!$A$1:$A$1001,customers!$F$1:$F$1001,,0)</f>
        <v>Sutton</v>
      </c>
      <c r="K381" t="str">
        <f>INDEX(products!$A$1:$G$49,MATCH(orders!$D381,products!$A$1:$A$49,0),MATCH(orders!K$1,products!$A$1:$G$1,0))</f>
        <v>Rob</v>
      </c>
      <c r="L381" t="str">
        <f>INDEX(products!$A$1:$G$49,MATCH(orders!$D381,products!$A$1:$A$49,0),MATCH(orders!L$1,products!$A$1:$G$1,0))</f>
        <v>L</v>
      </c>
      <c r="M381" s="14">
        <f>INDEX(products!$A$1:$G$49,MATCH(orders!$D381,products!$A$1:$A$49,0),MATCH(orders!M$1,products!$A$1:$G$1,0))</f>
        <v>0.5</v>
      </c>
      <c r="N381" s="4">
        <f>INDEX(products!$A$1:$G$49,MATCH(orders!$D381,products!$A$1:$A$49,0),MATCH(orders!N$1,products!$A$1:$G$1,0))</f>
        <v>7.169999999999999</v>
      </c>
      <c r="O381" s="13">
        <f t="shared" si="25"/>
        <v>43.019999999999996</v>
      </c>
      <c r="P381" s="13">
        <f>_xlfn.XLOOKUP(Orders[[#This Row],[Product ID]],products!$A$1:$A$49,products!$G$1:$G$49,,0)</f>
        <v>0.43019999999999992</v>
      </c>
      <c r="Q381" s="13">
        <f t="shared" si="26"/>
        <v>2.5811999999999995</v>
      </c>
      <c r="R381" t="str">
        <f t="shared" si="28"/>
        <v>Robusta</v>
      </c>
      <c r="S381" t="str">
        <f t="shared" si="29"/>
        <v>Light</v>
      </c>
      <c r="T381" t="str">
        <f>_xlfn.XLOOKUP(Orders[[#This Row],[Customer ID]],customers!$A$1:$A$1001,customers!$I$1:$I$1001,,0)</f>
        <v>Yes</v>
      </c>
    </row>
    <row r="382" spans="1:20" x14ac:dyDescent="0.35">
      <c r="A382" s="2" t="s">
        <v>2632</v>
      </c>
      <c r="B382" s="3">
        <v>44249</v>
      </c>
      <c r="C382" s="2" t="s">
        <v>2331</v>
      </c>
      <c r="D382" t="s">
        <v>6169</v>
      </c>
      <c r="E382" t="str">
        <f t="shared" si="27"/>
        <v>Liberica-Dark-0.5</v>
      </c>
      <c r="F382" s="2">
        <v>3</v>
      </c>
      <c r="G382" s="2" t="str" cm="1">
        <f t="array" ref="G382">_xlfn.XLOOKUP(C382, customers!$A$1:A1381,customers!$B$1:B1381,,0)</f>
        <v>Flynn Antony</v>
      </c>
      <c r="H382" s="2" t="str" cm="1">
        <f t="array" ref="H382">IF(_xlfn.XLOOKUP(C382,customers!$A$1:A1381,customers!$C$1:C1381,,0) = 0,"", _xlfn.XLOOKUP(C382,customers!$A$1:A1381,customers!$C$1:C1381,,0))</f>
        <v/>
      </c>
      <c r="I382" s="2" t="str">
        <f>_xlfn.XLOOKUP(C382,customers!$A$1:$A$1001,customers!$G$1:$G$1001,,0)</f>
        <v>United States</v>
      </c>
      <c r="J382" s="2" t="str">
        <f>_xlfn.XLOOKUP(Orders[[#This Row],[Customer ID]],customers!$A$1:$A$1001,customers!$F$1:$F$1001,,0)</f>
        <v>Birmingham</v>
      </c>
      <c r="K382" t="str">
        <f>INDEX(products!$A$1:$G$49,MATCH(orders!$D382,products!$A$1:$A$49,0),MATCH(orders!K$1,products!$A$1:$G$1,0))</f>
        <v>Lib</v>
      </c>
      <c r="L382" t="str">
        <f>INDEX(products!$A$1:$G$49,MATCH(orders!$D382,products!$A$1:$A$49,0),MATCH(orders!L$1,products!$A$1:$G$1,0))</f>
        <v>D</v>
      </c>
      <c r="M382" s="14">
        <f>INDEX(products!$A$1:$G$49,MATCH(orders!$D382,products!$A$1:$A$49,0),MATCH(orders!M$1,products!$A$1:$G$1,0))</f>
        <v>0.5</v>
      </c>
      <c r="N382" s="4">
        <f>INDEX(products!$A$1:$G$49,MATCH(orders!$D382,products!$A$1:$A$49,0),MATCH(orders!N$1,products!$A$1:$G$1,0))</f>
        <v>7.77</v>
      </c>
      <c r="O382" s="13">
        <f t="shared" si="25"/>
        <v>23.31</v>
      </c>
      <c r="P382" s="13">
        <f>_xlfn.XLOOKUP(Orders[[#This Row],[Product ID]],products!$A$1:$A$49,products!$G$1:$G$49,,0)</f>
        <v>1.0101</v>
      </c>
      <c r="Q382" s="13">
        <f t="shared" si="26"/>
        <v>3.0303</v>
      </c>
      <c r="R382" t="str">
        <f t="shared" si="28"/>
        <v>Liberica</v>
      </c>
      <c r="S382" t="str">
        <f t="shared" si="29"/>
        <v>Dark</v>
      </c>
      <c r="T382" t="str">
        <f>_xlfn.XLOOKUP(Orders[[#This Row],[Customer ID]],customers!$A$1:$A$1001,customers!$I$1:$I$1001,,0)</f>
        <v>No</v>
      </c>
    </row>
    <row r="383" spans="1:20" x14ac:dyDescent="0.35">
      <c r="A383" s="2" t="s">
        <v>2638</v>
      </c>
      <c r="B383" s="3">
        <v>44646</v>
      </c>
      <c r="C383" s="2" t="s">
        <v>2639</v>
      </c>
      <c r="D383" t="s">
        <v>6154</v>
      </c>
      <c r="E383" t="str">
        <f t="shared" si="27"/>
        <v>Arabica-Dark-0.2</v>
      </c>
      <c r="F383" s="2">
        <v>5</v>
      </c>
      <c r="G383" s="2" t="str" cm="1">
        <f t="array" ref="G383">_xlfn.XLOOKUP(C383, customers!$A$1:A1382,customers!$B$1:B1382,,0)</f>
        <v>Pren Bess</v>
      </c>
      <c r="H383" s="2" t="str" cm="1">
        <f t="array" ref="H383">IF(_xlfn.XLOOKUP(C383,customers!$A$1:A1382,customers!$C$1:C1382,,0) = 0,"", _xlfn.XLOOKUP(C383,customers!$A$1:A1382,customers!$C$1:C1382,,0))</f>
        <v>pbessal@qq.com</v>
      </c>
      <c r="I383" s="2" t="str">
        <f>_xlfn.XLOOKUP(C383,customers!$A$1:$A$1001,customers!$G$1:$G$1001,,0)</f>
        <v>United States</v>
      </c>
      <c r="J383" s="2" t="str">
        <f>_xlfn.XLOOKUP(Orders[[#This Row],[Customer ID]],customers!$A$1:$A$1001,customers!$F$1:$F$1001,,0)</f>
        <v>Los Angeles</v>
      </c>
      <c r="K383" t="str">
        <f>INDEX(products!$A$1:$G$49,MATCH(orders!$D383,products!$A$1:$A$49,0),MATCH(orders!K$1,products!$A$1:$G$1,0))</f>
        <v>Ara</v>
      </c>
      <c r="L383" t="str">
        <f>INDEX(products!$A$1:$G$49,MATCH(orders!$D383,products!$A$1:$A$49,0),MATCH(orders!L$1,products!$A$1:$G$1,0))</f>
        <v>D</v>
      </c>
      <c r="M383" s="14">
        <f>INDEX(products!$A$1:$G$49,MATCH(orders!$D383,products!$A$1:$A$49,0),MATCH(orders!M$1,products!$A$1:$G$1,0))</f>
        <v>0.2</v>
      </c>
      <c r="N383" s="4">
        <f>INDEX(products!$A$1:$G$49,MATCH(orders!$D383,products!$A$1:$A$49,0),MATCH(orders!N$1,products!$A$1:$G$1,0))</f>
        <v>2.9849999999999999</v>
      </c>
      <c r="O383" s="13">
        <f t="shared" si="25"/>
        <v>14.924999999999999</v>
      </c>
      <c r="P383" s="13">
        <f>_xlfn.XLOOKUP(Orders[[#This Row],[Product ID]],products!$A$1:$A$49,products!$G$1:$G$49,,0)</f>
        <v>0.26865</v>
      </c>
      <c r="Q383" s="13">
        <f t="shared" si="26"/>
        <v>1.3432500000000001</v>
      </c>
      <c r="R383" t="str">
        <f t="shared" si="28"/>
        <v>Arabica</v>
      </c>
      <c r="S383" t="str">
        <f t="shared" si="29"/>
        <v>Dark</v>
      </c>
      <c r="T383" t="str">
        <f>_xlfn.XLOOKUP(Orders[[#This Row],[Customer ID]],customers!$A$1:$A$1001,customers!$I$1:$I$1001,,0)</f>
        <v>Yes</v>
      </c>
    </row>
    <row r="384" spans="1:20" x14ac:dyDescent="0.35">
      <c r="A384" s="2" t="s">
        <v>2644</v>
      </c>
      <c r="B384" s="3">
        <v>43840</v>
      </c>
      <c r="C384" s="2" t="s">
        <v>2645</v>
      </c>
      <c r="D384" t="s">
        <v>6144</v>
      </c>
      <c r="E384" t="str">
        <f t="shared" si="27"/>
        <v>Excelsa-Dark-0.5</v>
      </c>
      <c r="F384" s="2">
        <v>3</v>
      </c>
      <c r="G384" s="2" t="str" cm="1">
        <f t="array" ref="G384">_xlfn.XLOOKUP(C384, customers!$A$1:A1383,customers!$B$1:B1383,,0)</f>
        <v>Elka Windress</v>
      </c>
      <c r="H384" s="2" t="str" cm="1">
        <f t="array" ref="H384">IF(_xlfn.XLOOKUP(C384,customers!$A$1:A1383,customers!$C$1:C1383,,0) = 0,"", _xlfn.XLOOKUP(C384,customers!$A$1:A1383,customers!$C$1:C1383,,0))</f>
        <v>ewindressam@marketwatch.com</v>
      </c>
      <c r="I384" s="2" t="str">
        <f>_xlfn.XLOOKUP(C384,customers!$A$1:$A$1001,customers!$G$1:$G$1001,,0)</f>
        <v>United States</v>
      </c>
      <c r="J384" s="2" t="str">
        <f>_xlfn.XLOOKUP(Orders[[#This Row],[Customer ID]],customers!$A$1:$A$1001,customers!$F$1:$F$1001,,0)</f>
        <v>Baltimore</v>
      </c>
      <c r="K384" t="str">
        <f>INDEX(products!$A$1:$G$49,MATCH(orders!$D384,products!$A$1:$A$49,0),MATCH(orders!K$1,products!$A$1:$G$1,0))</f>
        <v>Exc</v>
      </c>
      <c r="L384" t="str">
        <f>INDEX(products!$A$1:$G$49,MATCH(orders!$D384,products!$A$1:$A$49,0),MATCH(orders!L$1,products!$A$1:$G$1,0))</f>
        <v>D</v>
      </c>
      <c r="M384" s="14">
        <f>INDEX(products!$A$1:$G$49,MATCH(orders!$D384,products!$A$1:$A$49,0),MATCH(orders!M$1,products!$A$1:$G$1,0))</f>
        <v>0.5</v>
      </c>
      <c r="N384" s="4">
        <f>INDEX(products!$A$1:$G$49,MATCH(orders!$D384,products!$A$1:$A$49,0),MATCH(orders!N$1,products!$A$1:$G$1,0))</f>
        <v>7.29</v>
      </c>
      <c r="O384" s="13">
        <f t="shared" si="25"/>
        <v>21.87</v>
      </c>
      <c r="P384" s="13">
        <f>_xlfn.XLOOKUP(Orders[[#This Row],[Product ID]],products!$A$1:$A$49,products!$G$1:$G$49,,0)</f>
        <v>0.80190000000000006</v>
      </c>
      <c r="Q384" s="13">
        <f t="shared" si="26"/>
        <v>2.4057000000000004</v>
      </c>
      <c r="R384" t="str">
        <f t="shared" si="28"/>
        <v>Execelsa</v>
      </c>
      <c r="S384" t="str">
        <f t="shared" si="29"/>
        <v>Dark</v>
      </c>
      <c r="T384" t="str">
        <f>_xlfn.XLOOKUP(Orders[[#This Row],[Customer ID]],customers!$A$1:$A$1001,customers!$I$1:$I$1001,,0)</f>
        <v>No</v>
      </c>
    </row>
    <row r="385" spans="1:20" x14ac:dyDescent="0.35">
      <c r="A385" s="2" t="s">
        <v>2650</v>
      </c>
      <c r="B385" s="3">
        <v>43586</v>
      </c>
      <c r="C385" s="2" t="s">
        <v>2651</v>
      </c>
      <c r="D385" t="s">
        <v>6176</v>
      </c>
      <c r="E385" t="str">
        <f t="shared" si="27"/>
        <v>Excelsa-Light-0.5</v>
      </c>
      <c r="F385" s="2">
        <v>6</v>
      </c>
      <c r="G385" s="2" t="str" cm="1">
        <f t="array" ref="G385">_xlfn.XLOOKUP(C385, customers!$A$1:A1384,customers!$B$1:B1384,,0)</f>
        <v>Marty Kidstoun</v>
      </c>
      <c r="H385" s="2" t="str" cm="1">
        <f t="array" ref="H385">IF(_xlfn.XLOOKUP(C385,customers!$A$1:A1384,customers!$C$1:C1384,,0) = 0,"", _xlfn.XLOOKUP(C385,customers!$A$1:A1384,customers!$C$1:C1384,,0))</f>
        <v/>
      </c>
      <c r="I385" s="2" t="str">
        <f>_xlfn.XLOOKUP(C385,customers!$A$1:$A$1001,customers!$G$1:$G$1001,,0)</f>
        <v>United States</v>
      </c>
      <c r="J385" s="2" t="str">
        <f>_xlfn.XLOOKUP(Orders[[#This Row],[Customer ID]],customers!$A$1:$A$1001,customers!$F$1:$F$1001,,0)</f>
        <v>Harrisburg</v>
      </c>
      <c r="K385" t="str">
        <f>INDEX(products!$A$1:$G$49,MATCH(orders!$D385,products!$A$1:$A$49,0),MATCH(orders!K$1,products!$A$1:$G$1,0))</f>
        <v>Exc</v>
      </c>
      <c r="L385" t="str">
        <f>INDEX(products!$A$1:$G$49,MATCH(orders!$D385,products!$A$1:$A$49,0),MATCH(orders!L$1,products!$A$1:$G$1,0))</f>
        <v>L</v>
      </c>
      <c r="M385" s="14">
        <f>INDEX(products!$A$1:$G$49,MATCH(orders!$D385,products!$A$1:$A$49,0),MATCH(orders!M$1,products!$A$1:$G$1,0))</f>
        <v>0.5</v>
      </c>
      <c r="N385" s="4">
        <f>INDEX(products!$A$1:$G$49,MATCH(orders!$D385,products!$A$1:$A$49,0),MATCH(orders!N$1,products!$A$1:$G$1,0))</f>
        <v>8.91</v>
      </c>
      <c r="O385" s="13">
        <f t="shared" si="25"/>
        <v>53.46</v>
      </c>
      <c r="P385" s="13">
        <f>_xlfn.XLOOKUP(Orders[[#This Row],[Product ID]],products!$A$1:$A$49,products!$G$1:$G$49,,0)</f>
        <v>0.98009999999999997</v>
      </c>
      <c r="Q385" s="13">
        <f t="shared" si="26"/>
        <v>5.8805999999999994</v>
      </c>
      <c r="R385" t="str">
        <f t="shared" si="28"/>
        <v>Execelsa</v>
      </c>
      <c r="S385" t="str">
        <f t="shared" si="29"/>
        <v>Light</v>
      </c>
      <c r="T385" t="str">
        <f>_xlfn.XLOOKUP(Orders[[#This Row],[Customer ID]],customers!$A$1:$A$1001,customers!$I$1:$I$1001,,0)</f>
        <v>Yes</v>
      </c>
    </row>
    <row r="386" spans="1:20" x14ac:dyDescent="0.35">
      <c r="A386" s="2" t="s">
        <v>2655</v>
      </c>
      <c r="B386" s="3">
        <v>43870</v>
      </c>
      <c r="C386" s="2" t="s">
        <v>2656</v>
      </c>
      <c r="D386" t="s">
        <v>6182</v>
      </c>
      <c r="E386" t="str">
        <f t="shared" si="27"/>
        <v>Arabica-Light-2.5</v>
      </c>
      <c r="F386" s="2">
        <v>4</v>
      </c>
      <c r="G386" s="2" t="str" cm="1">
        <f t="array" ref="G386">_xlfn.XLOOKUP(C386, customers!$A$1:A1385,customers!$B$1:B1385,,0)</f>
        <v>Nickey Dimbleby</v>
      </c>
      <c r="H386" s="2" t="str" cm="1">
        <f t="array" ref="H386">IF(_xlfn.XLOOKUP(C386,customers!$A$1:A1385,customers!$C$1:C1385,,0) = 0,"", _xlfn.XLOOKUP(C386,customers!$A$1:A1385,customers!$C$1:C1385,,0))</f>
        <v/>
      </c>
      <c r="I386" s="2" t="str">
        <f>_xlfn.XLOOKUP(C386,customers!$A$1:$A$1001,customers!$G$1:$G$1001,,0)</f>
        <v>United States</v>
      </c>
      <c r="J386" s="2" t="str">
        <f>_xlfn.XLOOKUP(Orders[[#This Row],[Customer ID]],customers!$A$1:$A$1001,customers!$F$1:$F$1001,,0)</f>
        <v>Dallas</v>
      </c>
      <c r="K386" t="str">
        <f>INDEX(products!$A$1:$G$49,MATCH(orders!$D386,products!$A$1:$A$49,0),MATCH(orders!K$1,products!$A$1:$G$1,0))</f>
        <v>Ara</v>
      </c>
      <c r="L386" t="str">
        <f>INDEX(products!$A$1:$G$49,MATCH(orders!$D386,products!$A$1:$A$49,0),MATCH(orders!L$1,products!$A$1:$G$1,0))</f>
        <v>L</v>
      </c>
      <c r="M386" s="14">
        <f>INDEX(products!$A$1:$G$49,MATCH(orders!$D386,products!$A$1:$A$49,0),MATCH(orders!M$1,products!$A$1:$G$1,0))</f>
        <v>2.5</v>
      </c>
      <c r="N386" s="4">
        <f>INDEX(products!$A$1:$G$49,MATCH(orders!$D386,products!$A$1:$A$49,0),MATCH(orders!N$1,products!$A$1:$G$1,0))</f>
        <v>29.784999999999997</v>
      </c>
      <c r="O386" s="13">
        <f t="shared" ref="O386:O449" si="30">N386*F386</f>
        <v>119.13999999999999</v>
      </c>
      <c r="P386" s="13">
        <f>_xlfn.XLOOKUP(Orders[[#This Row],[Product ID]],products!$A$1:$A$49,products!$G$1:$G$49,,0)</f>
        <v>2.6806499999999995</v>
      </c>
      <c r="Q386" s="13">
        <f t="shared" ref="Q386:Q449" si="31">P386*F386</f>
        <v>10.722599999999998</v>
      </c>
      <c r="R386" t="str">
        <f t="shared" si="28"/>
        <v>Arabica</v>
      </c>
      <c r="S386" t="str">
        <f t="shared" si="29"/>
        <v>Light</v>
      </c>
      <c r="T386" t="str">
        <f>_xlfn.XLOOKUP(Orders[[#This Row],[Customer ID]],customers!$A$1:$A$1001,customers!$I$1:$I$1001,,0)</f>
        <v>No</v>
      </c>
    </row>
    <row r="387" spans="1:20" x14ac:dyDescent="0.35">
      <c r="A387" s="2" t="s">
        <v>2660</v>
      </c>
      <c r="B387" s="3">
        <v>44559</v>
      </c>
      <c r="C387" s="2" t="s">
        <v>2661</v>
      </c>
      <c r="D387" t="s">
        <v>6160</v>
      </c>
      <c r="E387" t="str">
        <f t="shared" ref="E387:E450" si="32">IF(LEFT(D387,1)="R", "Robusta",
    IF(LEFT(D387,1)="A", "Arabica",
        IF(LEFT(D387,1)="E", "Excelsa",
            IF(LEFT(D387,1)="L", "Liberica", "")
        )
    )
) &amp; "-" &amp;
IF(MID(D387,3,1)="D", "Dark",
    IF(MID(D387,3,1)="M", "Medium",
        IF(MID(D387,3,1)="L", "Light", "")
    )
) &amp; "-" &amp;
MID(D387,5,LEN(D387)-4)</f>
        <v>Liberica-Medium-0.5</v>
      </c>
      <c r="F387" s="2">
        <v>5</v>
      </c>
      <c r="G387" s="2" t="str" cm="1">
        <f t="array" ref="G387">_xlfn.XLOOKUP(C387, customers!$A$1:A1386,customers!$B$1:B1386,,0)</f>
        <v>Virgil Baumadier</v>
      </c>
      <c r="H387" s="2" t="str" cm="1">
        <f t="array" ref="H387">IF(_xlfn.XLOOKUP(C387,customers!$A$1:A1386,customers!$C$1:C1386,,0) = 0,"", _xlfn.XLOOKUP(C387,customers!$A$1:A1386,customers!$C$1:C1386,,0))</f>
        <v>vbaumadierap@google.cn</v>
      </c>
      <c r="I387" s="2" t="str">
        <f>_xlfn.XLOOKUP(C387,customers!$A$1:$A$1001,customers!$G$1:$G$1001,,0)</f>
        <v>United States</v>
      </c>
      <c r="J387" s="2" t="str">
        <f>_xlfn.XLOOKUP(Orders[[#This Row],[Customer ID]],customers!$A$1:$A$1001,customers!$F$1:$F$1001,,0)</f>
        <v>Kansas City</v>
      </c>
      <c r="K387" t="str">
        <f>INDEX(products!$A$1:$G$49,MATCH(orders!$D387,products!$A$1:$A$49,0),MATCH(orders!K$1,products!$A$1:$G$1,0))</f>
        <v>Lib</v>
      </c>
      <c r="L387" t="str">
        <f>INDEX(products!$A$1:$G$49,MATCH(orders!$D387,products!$A$1:$A$49,0),MATCH(orders!L$1,products!$A$1:$G$1,0))</f>
        <v>M</v>
      </c>
      <c r="M387" s="14">
        <f>INDEX(products!$A$1:$G$49,MATCH(orders!$D387,products!$A$1:$A$49,0),MATCH(orders!M$1,products!$A$1:$G$1,0))</f>
        <v>0.5</v>
      </c>
      <c r="N387" s="4">
        <f>INDEX(products!$A$1:$G$49,MATCH(orders!$D387,products!$A$1:$A$49,0),MATCH(orders!N$1,products!$A$1:$G$1,0))</f>
        <v>8.73</v>
      </c>
      <c r="O387" s="13">
        <f t="shared" si="30"/>
        <v>43.650000000000006</v>
      </c>
      <c r="P387" s="13">
        <f>_xlfn.XLOOKUP(Orders[[#This Row],[Product ID]],products!$A$1:$A$49,products!$G$1:$G$49,,0)</f>
        <v>1.1349</v>
      </c>
      <c r="Q387" s="13">
        <f t="shared" si="31"/>
        <v>5.6745000000000001</v>
      </c>
      <c r="R387" t="str">
        <f t="shared" ref="R387:R450" si="33">IF(K387="Rob","Robusta",IF(K387="Exc","Execelsa",IF(K387="Ara","Arabica",IF(K387="Lib","Liberica",""))))</f>
        <v>Liberica</v>
      </c>
      <c r="S387" t="str">
        <f t="shared" ref="S387:S450" si="34" xml:space="preserve"> IF(L387="M", "Medium", IF(L387="L","Light",IF(L387="D","Dark","")))</f>
        <v>Medium</v>
      </c>
      <c r="T387" t="str">
        <f>_xlfn.XLOOKUP(Orders[[#This Row],[Customer ID]],customers!$A$1:$A$1001,customers!$I$1:$I$1001,,0)</f>
        <v>Yes</v>
      </c>
    </row>
    <row r="388" spans="1:20" x14ac:dyDescent="0.35">
      <c r="A388" s="2" t="s">
        <v>2666</v>
      </c>
      <c r="B388" s="3">
        <v>44083</v>
      </c>
      <c r="C388" s="2" t="s">
        <v>2667</v>
      </c>
      <c r="D388" t="s">
        <v>6154</v>
      </c>
      <c r="E388" t="str">
        <f t="shared" si="32"/>
        <v>Arabica-Dark-0.2</v>
      </c>
      <c r="F388" s="2">
        <v>6</v>
      </c>
      <c r="G388" s="2" t="str" cm="1">
        <f t="array" ref="G388">_xlfn.XLOOKUP(C388, customers!$A$1:A1387,customers!$B$1:B1387,,0)</f>
        <v>Lenore Messenbird</v>
      </c>
      <c r="H388" s="2" t="str" cm="1">
        <f t="array" ref="H388">IF(_xlfn.XLOOKUP(C388,customers!$A$1:A1387,customers!$C$1:C1387,,0) = 0,"", _xlfn.XLOOKUP(C388,customers!$A$1:A1387,customers!$C$1:C1387,,0))</f>
        <v/>
      </c>
      <c r="I388" s="2" t="str">
        <f>_xlfn.XLOOKUP(C388,customers!$A$1:$A$1001,customers!$G$1:$G$1001,,0)</f>
        <v>United States</v>
      </c>
      <c r="J388" s="2" t="str">
        <f>_xlfn.XLOOKUP(Orders[[#This Row],[Customer ID]],customers!$A$1:$A$1001,customers!$F$1:$F$1001,,0)</f>
        <v>Springfield</v>
      </c>
      <c r="K388" t="str">
        <f>INDEX(products!$A$1:$G$49,MATCH(orders!$D388,products!$A$1:$A$49,0),MATCH(orders!K$1,products!$A$1:$G$1,0))</f>
        <v>Ara</v>
      </c>
      <c r="L388" t="str">
        <f>INDEX(products!$A$1:$G$49,MATCH(orders!$D388,products!$A$1:$A$49,0),MATCH(orders!L$1,products!$A$1:$G$1,0))</f>
        <v>D</v>
      </c>
      <c r="M388" s="14">
        <f>INDEX(products!$A$1:$G$49,MATCH(orders!$D388,products!$A$1:$A$49,0),MATCH(orders!M$1,products!$A$1:$G$1,0))</f>
        <v>0.2</v>
      </c>
      <c r="N388" s="4">
        <f>INDEX(products!$A$1:$G$49,MATCH(orders!$D388,products!$A$1:$A$49,0),MATCH(orders!N$1,products!$A$1:$G$1,0))</f>
        <v>2.9849999999999999</v>
      </c>
      <c r="O388" s="13">
        <f t="shared" si="30"/>
        <v>17.91</v>
      </c>
      <c r="P388" s="13">
        <f>_xlfn.XLOOKUP(Orders[[#This Row],[Product ID]],products!$A$1:$A$49,products!$G$1:$G$49,,0)</f>
        <v>0.26865</v>
      </c>
      <c r="Q388" s="13">
        <f t="shared" si="31"/>
        <v>1.6118999999999999</v>
      </c>
      <c r="R388" t="str">
        <f t="shared" si="33"/>
        <v>Arabica</v>
      </c>
      <c r="S388" t="str">
        <f t="shared" si="34"/>
        <v>Dark</v>
      </c>
      <c r="T388" t="str">
        <f>_xlfn.XLOOKUP(Orders[[#This Row],[Customer ID]],customers!$A$1:$A$1001,customers!$I$1:$I$1001,,0)</f>
        <v>Yes</v>
      </c>
    </row>
    <row r="389" spans="1:20" x14ac:dyDescent="0.35">
      <c r="A389" s="2" t="s">
        <v>2671</v>
      </c>
      <c r="B389" s="3">
        <v>44455</v>
      </c>
      <c r="C389" s="2" t="s">
        <v>2672</v>
      </c>
      <c r="D389" t="s">
        <v>6171</v>
      </c>
      <c r="E389" t="str">
        <f t="shared" si="32"/>
        <v>Excelsa-Light-1</v>
      </c>
      <c r="F389" s="2">
        <v>5</v>
      </c>
      <c r="G389" s="2" t="str" cm="1">
        <f t="array" ref="G389">_xlfn.XLOOKUP(C389, customers!$A$1:A1388,customers!$B$1:B1388,,0)</f>
        <v>Shirleen Welds</v>
      </c>
      <c r="H389" s="2" t="str" cm="1">
        <f t="array" ref="H389">IF(_xlfn.XLOOKUP(C389,customers!$A$1:A1388,customers!$C$1:C1388,,0) = 0,"", _xlfn.XLOOKUP(C389,customers!$A$1:A1388,customers!$C$1:C1388,,0))</f>
        <v>sweldsar@wired.com</v>
      </c>
      <c r="I389" s="2" t="str">
        <f>_xlfn.XLOOKUP(C389,customers!$A$1:$A$1001,customers!$G$1:$G$1001,,0)</f>
        <v>United States</v>
      </c>
      <c r="J389" s="2" t="str">
        <f>_xlfn.XLOOKUP(Orders[[#This Row],[Customer ID]],customers!$A$1:$A$1001,customers!$F$1:$F$1001,,0)</f>
        <v>New Haven</v>
      </c>
      <c r="K389" t="str">
        <f>INDEX(products!$A$1:$G$49,MATCH(orders!$D389,products!$A$1:$A$49,0),MATCH(orders!K$1,products!$A$1:$G$1,0))</f>
        <v>Exc</v>
      </c>
      <c r="L389" t="str">
        <f>INDEX(products!$A$1:$G$49,MATCH(orders!$D389,products!$A$1:$A$49,0),MATCH(orders!L$1,products!$A$1:$G$1,0))</f>
        <v>L</v>
      </c>
      <c r="M389" s="14">
        <f>INDEX(products!$A$1:$G$49,MATCH(orders!$D389,products!$A$1:$A$49,0),MATCH(orders!M$1,products!$A$1:$G$1,0))</f>
        <v>1</v>
      </c>
      <c r="N389" s="4">
        <f>INDEX(products!$A$1:$G$49,MATCH(orders!$D389,products!$A$1:$A$49,0),MATCH(orders!N$1,products!$A$1:$G$1,0))</f>
        <v>14.85</v>
      </c>
      <c r="O389" s="13">
        <f t="shared" si="30"/>
        <v>74.25</v>
      </c>
      <c r="P389" s="13">
        <f>_xlfn.XLOOKUP(Orders[[#This Row],[Product ID]],products!$A$1:$A$49,products!$G$1:$G$49,,0)</f>
        <v>1.6335</v>
      </c>
      <c r="Q389" s="13">
        <f t="shared" si="31"/>
        <v>8.1675000000000004</v>
      </c>
      <c r="R389" t="str">
        <f t="shared" si="33"/>
        <v>Execelsa</v>
      </c>
      <c r="S389" t="str">
        <f t="shared" si="34"/>
        <v>Light</v>
      </c>
      <c r="T389" t="str">
        <f>_xlfn.XLOOKUP(Orders[[#This Row],[Customer ID]],customers!$A$1:$A$1001,customers!$I$1:$I$1001,,0)</f>
        <v>Yes</v>
      </c>
    </row>
    <row r="390" spans="1:20" x14ac:dyDescent="0.35">
      <c r="A390" s="2" t="s">
        <v>2677</v>
      </c>
      <c r="B390" s="3">
        <v>44130</v>
      </c>
      <c r="C390" s="2" t="s">
        <v>2678</v>
      </c>
      <c r="D390" t="s">
        <v>6150</v>
      </c>
      <c r="E390" t="str">
        <f t="shared" si="32"/>
        <v>Liberica-Dark-0.2</v>
      </c>
      <c r="F390" s="2">
        <v>3</v>
      </c>
      <c r="G390" s="2" t="str" cm="1">
        <f t="array" ref="G390">_xlfn.XLOOKUP(C390, customers!$A$1:A1389,customers!$B$1:B1389,,0)</f>
        <v>Maisie Sarvar</v>
      </c>
      <c r="H390" s="2" t="str" cm="1">
        <f t="array" ref="H390">IF(_xlfn.XLOOKUP(C390,customers!$A$1:A1389,customers!$C$1:C1389,,0) = 0,"", _xlfn.XLOOKUP(C390,customers!$A$1:A1389,customers!$C$1:C1389,,0))</f>
        <v>msarvaras@artisteer.com</v>
      </c>
      <c r="I390" s="2" t="str">
        <f>_xlfn.XLOOKUP(C390,customers!$A$1:$A$1001,customers!$G$1:$G$1001,,0)</f>
        <v>United States</v>
      </c>
      <c r="J390" s="2" t="str">
        <f>_xlfn.XLOOKUP(Orders[[#This Row],[Customer ID]],customers!$A$1:$A$1001,customers!$F$1:$F$1001,,0)</f>
        <v>Lawrenceville</v>
      </c>
      <c r="K390" t="str">
        <f>INDEX(products!$A$1:$G$49,MATCH(orders!$D390,products!$A$1:$A$49,0),MATCH(orders!K$1,products!$A$1:$G$1,0))</f>
        <v>Lib</v>
      </c>
      <c r="L390" t="str">
        <f>INDEX(products!$A$1:$G$49,MATCH(orders!$D390,products!$A$1:$A$49,0),MATCH(orders!L$1,products!$A$1:$G$1,0))</f>
        <v>D</v>
      </c>
      <c r="M390" s="14">
        <f>INDEX(products!$A$1:$G$49,MATCH(orders!$D390,products!$A$1:$A$49,0),MATCH(orders!M$1,products!$A$1:$G$1,0))</f>
        <v>0.2</v>
      </c>
      <c r="N390" s="4">
        <f>INDEX(products!$A$1:$G$49,MATCH(orders!$D390,products!$A$1:$A$49,0),MATCH(orders!N$1,products!$A$1:$G$1,0))</f>
        <v>3.8849999999999998</v>
      </c>
      <c r="O390" s="13">
        <f t="shared" si="30"/>
        <v>11.654999999999999</v>
      </c>
      <c r="P390" s="13">
        <f>_xlfn.XLOOKUP(Orders[[#This Row],[Product ID]],products!$A$1:$A$49,products!$G$1:$G$49,,0)</f>
        <v>0.50505</v>
      </c>
      <c r="Q390" s="13">
        <f t="shared" si="31"/>
        <v>1.51515</v>
      </c>
      <c r="R390" t="str">
        <f t="shared" si="33"/>
        <v>Liberica</v>
      </c>
      <c r="S390" t="str">
        <f t="shared" si="34"/>
        <v>Dark</v>
      </c>
      <c r="T390" t="str">
        <f>_xlfn.XLOOKUP(Orders[[#This Row],[Customer ID]],customers!$A$1:$A$1001,customers!$I$1:$I$1001,,0)</f>
        <v>Yes</v>
      </c>
    </row>
    <row r="391" spans="1:20" x14ac:dyDescent="0.35">
      <c r="A391" s="2" t="s">
        <v>2683</v>
      </c>
      <c r="B391" s="3">
        <v>43536</v>
      </c>
      <c r="C391" s="2" t="s">
        <v>2684</v>
      </c>
      <c r="D391" t="s">
        <v>6169</v>
      </c>
      <c r="E391" t="str">
        <f t="shared" si="32"/>
        <v>Liberica-Dark-0.5</v>
      </c>
      <c r="F391" s="2">
        <v>3</v>
      </c>
      <c r="G391" s="2" t="str" cm="1">
        <f t="array" ref="G391">_xlfn.XLOOKUP(C391, customers!$A$1:A1390,customers!$B$1:B1390,,0)</f>
        <v>Andrej Havick</v>
      </c>
      <c r="H391" s="2" t="str" cm="1">
        <f t="array" ref="H391">IF(_xlfn.XLOOKUP(C391,customers!$A$1:A1390,customers!$C$1:C1390,,0) = 0,"", _xlfn.XLOOKUP(C391,customers!$A$1:A1390,customers!$C$1:C1390,,0))</f>
        <v>ahavickat@nsw.gov.au</v>
      </c>
      <c r="I391" s="2" t="str">
        <f>_xlfn.XLOOKUP(C391,customers!$A$1:$A$1001,customers!$G$1:$G$1001,,0)</f>
        <v>United States</v>
      </c>
      <c r="J391" s="2" t="str">
        <f>_xlfn.XLOOKUP(Orders[[#This Row],[Customer ID]],customers!$A$1:$A$1001,customers!$F$1:$F$1001,,0)</f>
        <v>Asheville</v>
      </c>
      <c r="K391" t="str">
        <f>INDEX(products!$A$1:$G$49,MATCH(orders!$D391,products!$A$1:$A$49,0),MATCH(orders!K$1,products!$A$1:$G$1,0))</f>
        <v>Lib</v>
      </c>
      <c r="L391" t="str">
        <f>INDEX(products!$A$1:$G$49,MATCH(orders!$D391,products!$A$1:$A$49,0),MATCH(orders!L$1,products!$A$1:$G$1,0))</f>
        <v>D</v>
      </c>
      <c r="M391" s="14">
        <f>INDEX(products!$A$1:$G$49,MATCH(orders!$D391,products!$A$1:$A$49,0),MATCH(orders!M$1,products!$A$1:$G$1,0))</f>
        <v>0.5</v>
      </c>
      <c r="N391" s="4">
        <f>INDEX(products!$A$1:$G$49,MATCH(orders!$D391,products!$A$1:$A$49,0),MATCH(orders!N$1,products!$A$1:$G$1,0))</f>
        <v>7.77</v>
      </c>
      <c r="O391" s="13">
        <f t="shared" si="30"/>
        <v>23.31</v>
      </c>
      <c r="P391" s="13">
        <f>_xlfn.XLOOKUP(Orders[[#This Row],[Product ID]],products!$A$1:$A$49,products!$G$1:$G$49,,0)</f>
        <v>1.0101</v>
      </c>
      <c r="Q391" s="13">
        <f t="shared" si="31"/>
        <v>3.0303</v>
      </c>
      <c r="R391" t="str">
        <f t="shared" si="33"/>
        <v>Liberica</v>
      </c>
      <c r="S391" t="str">
        <f t="shared" si="34"/>
        <v>Dark</v>
      </c>
      <c r="T391" t="str">
        <f>_xlfn.XLOOKUP(Orders[[#This Row],[Customer ID]],customers!$A$1:$A$1001,customers!$I$1:$I$1001,,0)</f>
        <v>Yes</v>
      </c>
    </row>
    <row r="392" spans="1:20" x14ac:dyDescent="0.35">
      <c r="A392" s="2" t="s">
        <v>2689</v>
      </c>
      <c r="B392" s="3">
        <v>44245</v>
      </c>
      <c r="C392" s="2" t="s">
        <v>2690</v>
      </c>
      <c r="D392" t="s">
        <v>6144</v>
      </c>
      <c r="E392" t="str">
        <f t="shared" si="32"/>
        <v>Excelsa-Dark-0.5</v>
      </c>
      <c r="F392" s="2">
        <v>2</v>
      </c>
      <c r="G392" s="2" t="str" cm="1">
        <f t="array" ref="G392">_xlfn.XLOOKUP(C392, customers!$A$1:A1391,customers!$B$1:B1391,,0)</f>
        <v>Sloan Diviny</v>
      </c>
      <c r="H392" s="2" t="str" cm="1">
        <f t="array" ref="H392">IF(_xlfn.XLOOKUP(C392,customers!$A$1:A1391,customers!$C$1:C1391,,0) = 0,"", _xlfn.XLOOKUP(C392,customers!$A$1:A1391,customers!$C$1:C1391,,0))</f>
        <v>sdivinyau@ask.com</v>
      </c>
      <c r="I392" s="2" t="str">
        <f>_xlfn.XLOOKUP(C392,customers!$A$1:$A$1001,customers!$G$1:$G$1001,,0)</f>
        <v>United States</v>
      </c>
      <c r="J392" s="2" t="str">
        <f>_xlfn.XLOOKUP(Orders[[#This Row],[Customer ID]],customers!$A$1:$A$1001,customers!$F$1:$F$1001,,0)</f>
        <v>Saint Paul</v>
      </c>
      <c r="K392" t="str">
        <f>INDEX(products!$A$1:$G$49,MATCH(orders!$D392,products!$A$1:$A$49,0),MATCH(orders!K$1,products!$A$1:$G$1,0))</f>
        <v>Exc</v>
      </c>
      <c r="L392" t="str">
        <f>INDEX(products!$A$1:$G$49,MATCH(orders!$D392,products!$A$1:$A$49,0),MATCH(orders!L$1,products!$A$1:$G$1,0))</f>
        <v>D</v>
      </c>
      <c r="M392" s="14">
        <f>INDEX(products!$A$1:$G$49,MATCH(orders!$D392,products!$A$1:$A$49,0),MATCH(orders!M$1,products!$A$1:$G$1,0))</f>
        <v>0.5</v>
      </c>
      <c r="N392" s="4">
        <f>INDEX(products!$A$1:$G$49,MATCH(orders!$D392,products!$A$1:$A$49,0),MATCH(orders!N$1,products!$A$1:$G$1,0))</f>
        <v>7.29</v>
      </c>
      <c r="O392" s="13">
        <f t="shared" si="30"/>
        <v>14.58</v>
      </c>
      <c r="P392" s="13">
        <f>_xlfn.XLOOKUP(Orders[[#This Row],[Product ID]],products!$A$1:$A$49,products!$G$1:$G$49,,0)</f>
        <v>0.80190000000000006</v>
      </c>
      <c r="Q392" s="13">
        <f t="shared" si="31"/>
        <v>1.6038000000000001</v>
      </c>
      <c r="R392" t="str">
        <f t="shared" si="33"/>
        <v>Execelsa</v>
      </c>
      <c r="S392" t="str">
        <f t="shared" si="34"/>
        <v>Dark</v>
      </c>
      <c r="T392" t="str">
        <f>_xlfn.XLOOKUP(Orders[[#This Row],[Customer ID]],customers!$A$1:$A$1001,customers!$I$1:$I$1001,,0)</f>
        <v>Yes</v>
      </c>
    </row>
    <row r="393" spans="1:20" x14ac:dyDescent="0.35">
      <c r="A393" s="2" t="s">
        <v>2694</v>
      </c>
      <c r="B393" s="3">
        <v>44133</v>
      </c>
      <c r="C393" s="2" t="s">
        <v>2695</v>
      </c>
      <c r="D393" t="s">
        <v>6157</v>
      </c>
      <c r="E393" t="str">
        <f t="shared" si="32"/>
        <v>Arabica-Medium-0.5</v>
      </c>
      <c r="F393" s="2">
        <v>2</v>
      </c>
      <c r="G393" s="2" t="str" cm="1">
        <f t="array" ref="G393">_xlfn.XLOOKUP(C393, customers!$A$1:A1392,customers!$B$1:B1392,,0)</f>
        <v>Itch Norquoy</v>
      </c>
      <c r="H393" s="2" t="str" cm="1">
        <f t="array" ref="H393">IF(_xlfn.XLOOKUP(C393,customers!$A$1:A1392,customers!$C$1:C1392,,0) = 0,"", _xlfn.XLOOKUP(C393,customers!$A$1:A1392,customers!$C$1:C1392,,0))</f>
        <v>inorquoyav@businessweek.com</v>
      </c>
      <c r="I393" s="2" t="str">
        <f>_xlfn.XLOOKUP(C393,customers!$A$1:$A$1001,customers!$G$1:$G$1001,,0)</f>
        <v>United States</v>
      </c>
      <c r="J393" s="2" t="str">
        <f>_xlfn.XLOOKUP(Orders[[#This Row],[Customer ID]],customers!$A$1:$A$1001,customers!$F$1:$F$1001,,0)</f>
        <v>Minneapolis</v>
      </c>
      <c r="K393" t="str">
        <f>INDEX(products!$A$1:$G$49,MATCH(orders!$D393,products!$A$1:$A$49,0),MATCH(orders!K$1,products!$A$1:$G$1,0))</f>
        <v>Ara</v>
      </c>
      <c r="L393" t="str">
        <f>INDEX(products!$A$1:$G$49,MATCH(orders!$D393,products!$A$1:$A$49,0),MATCH(orders!L$1,products!$A$1:$G$1,0))</f>
        <v>M</v>
      </c>
      <c r="M393" s="14">
        <f>INDEX(products!$A$1:$G$49,MATCH(orders!$D393,products!$A$1:$A$49,0),MATCH(orders!M$1,products!$A$1:$G$1,0))</f>
        <v>0.5</v>
      </c>
      <c r="N393" s="4">
        <f>INDEX(products!$A$1:$G$49,MATCH(orders!$D393,products!$A$1:$A$49,0),MATCH(orders!N$1,products!$A$1:$G$1,0))</f>
        <v>6.75</v>
      </c>
      <c r="O393" s="13">
        <f t="shared" si="30"/>
        <v>13.5</v>
      </c>
      <c r="P393" s="13">
        <f>_xlfn.XLOOKUP(Orders[[#This Row],[Product ID]],products!$A$1:$A$49,products!$G$1:$G$49,,0)</f>
        <v>0.60749999999999993</v>
      </c>
      <c r="Q393" s="13">
        <f t="shared" si="31"/>
        <v>1.2149999999999999</v>
      </c>
      <c r="R393" t="str">
        <f t="shared" si="33"/>
        <v>Arabica</v>
      </c>
      <c r="S393" t="str">
        <f t="shared" si="34"/>
        <v>Medium</v>
      </c>
      <c r="T393" t="str">
        <f>_xlfn.XLOOKUP(Orders[[#This Row],[Customer ID]],customers!$A$1:$A$1001,customers!$I$1:$I$1001,,0)</f>
        <v>No</v>
      </c>
    </row>
    <row r="394" spans="1:20" x14ac:dyDescent="0.35">
      <c r="A394" s="2" t="s">
        <v>2699</v>
      </c>
      <c r="B394" s="3">
        <v>44445</v>
      </c>
      <c r="C394" s="2" t="s">
        <v>2700</v>
      </c>
      <c r="D394" t="s">
        <v>6171</v>
      </c>
      <c r="E394" t="str">
        <f t="shared" si="32"/>
        <v>Excelsa-Light-1</v>
      </c>
      <c r="F394" s="2">
        <v>6</v>
      </c>
      <c r="G394" s="2" t="str" cm="1">
        <f t="array" ref="G394">_xlfn.XLOOKUP(C394, customers!$A$1:A1393,customers!$B$1:B1393,,0)</f>
        <v>Anson Iddison</v>
      </c>
      <c r="H394" s="2" t="str" cm="1">
        <f t="array" ref="H394">IF(_xlfn.XLOOKUP(C394,customers!$A$1:A1393,customers!$C$1:C1393,,0) = 0,"", _xlfn.XLOOKUP(C394,customers!$A$1:A1393,customers!$C$1:C1393,,0))</f>
        <v>aiddisonaw@usa.gov</v>
      </c>
      <c r="I394" s="2" t="str">
        <f>_xlfn.XLOOKUP(C394,customers!$A$1:$A$1001,customers!$G$1:$G$1001,,0)</f>
        <v>United States</v>
      </c>
      <c r="J394" s="2" t="str">
        <f>_xlfn.XLOOKUP(Orders[[#This Row],[Customer ID]],customers!$A$1:$A$1001,customers!$F$1:$F$1001,,0)</f>
        <v>Santa Ana</v>
      </c>
      <c r="K394" t="str">
        <f>INDEX(products!$A$1:$G$49,MATCH(orders!$D394,products!$A$1:$A$49,0),MATCH(orders!K$1,products!$A$1:$G$1,0))</f>
        <v>Exc</v>
      </c>
      <c r="L394" t="str">
        <f>INDEX(products!$A$1:$G$49,MATCH(orders!$D394,products!$A$1:$A$49,0),MATCH(orders!L$1,products!$A$1:$G$1,0))</f>
        <v>L</v>
      </c>
      <c r="M394" s="14">
        <f>INDEX(products!$A$1:$G$49,MATCH(orders!$D394,products!$A$1:$A$49,0),MATCH(orders!M$1,products!$A$1:$G$1,0))</f>
        <v>1</v>
      </c>
      <c r="N394" s="4">
        <f>INDEX(products!$A$1:$G$49,MATCH(orders!$D394,products!$A$1:$A$49,0),MATCH(orders!N$1,products!$A$1:$G$1,0))</f>
        <v>14.85</v>
      </c>
      <c r="O394" s="13">
        <f t="shared" si="30"/>
        <v>89.1</v>
      </c>
      <c r="P394" s="13">
        <f>_xlfn.XLOOKUP(Orders[[#This Row],[Product ID]],products!$A$1:$A$49,products!$G$1:$G$49,,0)</f>
        <v>1.6335</v>
      </c>
      <c r="Q394" s="13">
        <f t="shared" si="31"/>
        <v>9.8010000000000002</v>
      </c>
      <c r="R394" t="str">
        <f t="shared" si="33"/>
        <v>Execelsa</v>
      </c>
      <c r="S394" t="str">
        <f t="shared" si="34"/>
        <v>Light</v>
      </c>
      <c r="T394" t="str">
        <f>_xlfn.XLOOKUP(Orders[[#This Row],[Customer ID]],customers!$A$1:$A$1001,customers!$I$1:$I$1001,,0)</f>
        <v>No</v>
      </c>
    </row>
    <row r="395" spans="1:20" x14ac:dyDescent="0.35">
      <c r="A395" s="2" t="s">
        <v>2699</v>
      </c>
      <c r="B395" s="3">
        <v>44445</v>
      </c>
      <c r="C395" s="2" t="s">
        <v>2700</v>
      </c>
      <c r="D395" t="s">
        <v>6167</v>
      </c>
      <c r="E395" t="str">
        <f t="shared" si="32"/>
        <v>Arabica-Light-0.2</v>
      </c>
      <c r="F395" s="2">
        <v>1</v>
      </c>
      <c r="G395" s="2" t="str" cm="1">
        <f t="array" ref="G395">_xlfn.XLOOKUP(C395, customers!$A$1:A1394,customers!$B$1:B1394,,0)</f>
        <v>Anson Iddison</v>
      </c>
      <c r="H395" s="2" t="str" cm="1">
        <f t="array" ref="H395">IF(_xlfn.XLOOKUP(C395,customers!$A$1:A1394,customers!$C$1:C1394,,0) = 0,"", _xlfn.XLOOKUP(C395,customers!$A$1:A1394,customers!$C$1:C1394,,0))</f>
        <v>aiddisonaw@usa.gov</v>
      </c>
      <c r="I395" s="2" t="str">
        <f>_xlfn.XLOOKUP(C395,customers!$A$1:$A$1001,customers!$G$1:$G$1001,,0)</f>
        <v>United States</v>
      </c>
      <c r="J395" s="2" t="str">
        <f>_xlfn.XLOOKUP(Orders[[#This Row],[Customer ID]],customers!$A$1:$A$1001,customers!$F$1:$F$1001,,0)</f>
        <v>Santa Ana</v>
      </c>
      <c r="K395" t="str">
        <f>INDEX(products!$A$1:$G$49,MATCH(orders!$D395,products!$A$1:$A$49,0),MATCH(orders!K$1,products!$A$1:$G$1,0))</f>
        <v>Ara</v>
      </c>
      <c r="L395" t="str">
        <f>INDEX(products!$A$1:$G$49,MATCH(orders!$D395,products!$A$1:$A$49,0),MATCH(orders!L$1,products!$A$1:$G$1,0))</f>
        <v>L</v>
      </c>
      <c r="M395" s="14">
        <f>INDEX(products!$A$1:$G$49,MATCH(orders!$D395,products!$A$1:$A$49,0),MATCH(orders!M$1,products!$A$1:$G$1,0))</f>
        <v>0.2</v>
      </c>
      <c r="N395" s="4">
        <f>INDEX(products!$A$1:$G$49,MATCH(orders!$D395,products!$A$1:$A$49,0),MATCH(orders!N$1,products!$A$1:$G$1,0))</f>
        <v>3.8849999999999998</v>
      </c>
      <c r="O395" s="13">
        <f t="shared" si="30"/>
        <v>3.8849999999999998</v>
      </c>
      <c r="P395" s="13">
        <f>_xlfn.XLOOKUP(Orders[[#This Row],[Product ID]],products!$A$1:$A$49,products!$G$1:$G$49,,0)</f>
        <v>0.34964999999999996</v>
      </c>
      <c r="Q395" s="13">
        <f t="shared" si="31"/>
        <v>0.34964999999999996</v>
      </c>
      <c r="R395" t="str">
        <f t="shared" si="33"/>
        <v>Arabica</v>
      </c>
      <c r="S395" t="str">
        <f t="shared" si="34"/>
        <v>Light</v>
      </c>
      <c r="T395" t="str">
        <f>_xlfn.XLOOKUP(Orders[[#This Row],[Customer ID]],customers!$A$1:$A$1001,customers!$I$1:$I$1001,,0)</f>
        <v>No</v>
      </c>
    </row>
    <row r="396" spans="1:20" x14ac:dyDescent="0.35">
      <c r="A396" s="2" t="s">
        <v>2710</v>
      </c>
      <c r="B396" s="3">
        <v>44083</v>
      </c>
      <c r="C396" s="2" t="s">
        <v>2711</v>
      </c>
      <c r="D396" t="s">
        <v>6142</v>
      </c>
      <c r="E396" t="str">
        <f t="shared" si="32"/>
        <v>Robusta-Light-2.5</v>
      </c>
      <c r="F396" s="2">
        <v>4</v>
      </c>
      <c r="G396" s="2" t="str" cm="1">
        <f t="array" ref="G396">_xlfn.XLOOKUP(C396, customers!$A$1:A1395,customers!$B$1:B1395,,0)</f>
        <v>Randal Longfield</v>
      </c>
      <c r="H396" s="2" t="str" cm="1">
        <f t="array" ref="H396">IF(_xlfn.XLOOKUP(C396,customers!$A$1:A1395,customers!$C$1:C1395,,0) = 0,"", _xlfn.XLOOKUP(C396,customers!$A$1:A1395,customers!$C$1:C1395,,0))</f>
        <v>rlongfielday@bluehost.com</v>
      </c>
      <c r="I396" s="2" t="str">
        <f>_xlfn.XLOOKUP(C396,customers!$A$1:$A$1001,customers!$G$1:$G$1001,,0)</f>
        <v>United States</v>
      </c>
      <c r="J396" s="2" t="str">
        <f>_xlfn.XLOOKUP(Orders[[#This Row],[Customer ID]],customers!$A$1:$A$1001,customers!$F$1:$F$1001,,0)</f>
        <v>Minneapolis</v>
      </c>
      <c r="K396" t="str">
        <f>INDEX(products!$A$1:$G$49,MATCH(orders!$D396,products!$A$1:$A$49,0),MATCH(orders!K$1,products!$A$1:$G$1,0))</f>
        <v>Rob</v>
      </c>
      <c r="L396" t="str">
        <f>INDEX(products!$A$1:$G$49,MATCH(orders!$D396,products!$A$1:$A$49,0),MATCH(orders!L$1,products!$A$1:$G$1,0))</f>
        <v>L</v>
      </c>
      <c r="M396" s="14">
        <f>INDEX(products!$A$1:$G$49,MATCH(orders!$D396,products!$A$1:$A$49,0),MATCH(orders!M$1,products!$A$1:$G$1,0))</f>
        <v>2.5</v>
      </c>
      <c r="N396" s="4">
        <f>INDEX(products!$A$1:$G$49,MATCH(orders!$D396,products!$A$1:$A$49,0),MATCH(orders!N$1,products!$A$1:$G$1,0))</f>
        <v>27.484999999999996</v>
      </c>
      <c r="O396" s="13">
        <f t="shared" si="30"/>
        <v>109.93999999999998</v>
      </c>
      <c r="P396" s="13">
        <f>_xlfn.XLOOKUP(Orders[[#This Row],[Product ID]],products!$A$1:$A$49,products!$G$1:$G$49,,0)</f>
        <v>1.6490999999999998</v>
      </c>
      <c r="Q396" s="13">
        <f t="shared" si="31"/>
        <v>6.5963999999999992</v>
      </c>
      <c r="R396" t="str">
        <f t="shared" si="33"/>
        <v>Robusta</v>
      </c>
      <c r="S396" t="str">
        <f t="shared" si="34"/>
        <v>Light</v>
      </c>
      <c r="T396" t="str">
        <f>_xlfn.XLOOKUP(Orders[[#This Row],[Customer ID]],customers!$A$1:$A$1001,customers!$I$1:$I$1001,,0)</f>
        <v>No</v>
      </c>
    </row>
    <row r="397" spans="1:20" x14ac:dyDescent="0.35">
      <c r="A397" s="2" t="s">
        <v>2716</v>
      </c>
      <c r="B397" s="3">
        <v>44465</v>
      </c>
      <c r="C397" s="2" t="s">
        <v>2717</v>
      </c>
      <c r="D397" t="s">
        <v>6169</v>
      </c>
      <c r="E397" t="str">
        <f t="shared" si="32"/>
        <v>Liberica-Dark-0.5</v>
      </c>
      <c r="F397" s="2">
        <v>6</v>
      </c>
      <c r="G397" s="2" t="str" cm="1">
        <f t="array" ref="G397">_xlfn.XLOOKUP(C397, customers!$A$1:A1396,customers!$B$1:B1396,,0)</f>
        <v>Gregorius Kislingbury</v>
      </c>
      <c r="H397" s="2" t="str" cm="1">
        <f t="array" ref="H397">IF(_xlfn.XLOOKUP(C397,customers!$A$1:A1396,customers!$C$1:C1396,,0) = 0,"", _xlfn.XLOOKUP(C397,customers!$A$1:A1396,customers!$C$1:C1396,,0))</f>
        <v>gkislingburyaz@samsung.com</v>
      </c>
      <c r="I397" s="2" t="str">
        <f>_xlfn.XLOOKUP(C397,customers!$A$1:$A$1001,customers!$G$1:$G$1001,,0)</f>
        <v>United States</v>
      </c>
      <c r="J397" s="2" t="str">
        <f>_xlfn.XLOOKUP(Orders[[#This Row],[Customer ID]],customers!$A$1:$A$1001,customers!$F$1:$F$1001,,0)</f>
        <v>Washington</v>
      </c>
      <c r="K397" t="str">
        <f>INDEX(products!$A$1:$G$49,MATCH(orders!$D397,products!$A$1:$A$49,0),MATCH(orders!K$1,products!$A$1:$G$1,0))</f>
        <v>Lib</v>
      </c>
      <c r="L397" t="str">
        <f>INDEX(products!$A$1:$G$49,MATCH(orders!$D397,products!$A$1:$A$49,0),MATCH(orders!L$1,products!$A$1:$G$1,0))</f>
        <v>D</v>
      </c>
      <c r="M397" s="14">
        <f>INDEX(products!$A$1:$G$49,MATCH(orders!$D397,products!$A$1:$A$49,0),MATCH(orders!M$1,products!$A$1:$G$1,0))</f>
        <v>0.5</v>
      </c>
      <c r="N397" s="4">
        <f>INDEX(products!$A$1:$G$49,MATCH(orders!$D397,products!$A$1:$A$49,0),MATCH(orders!N$1,products!$A$1:$G$1,0))</f>
        <v>7.77</v>
      </c>
      <c r="O397" s="13">
        <f t="shared" si="30"/>
        <v>46.62</v>
      </c>
      <c r="P397" s="13">
        <f>_xlfn.XLOOKUP(Orders[[#This Row],[Product ID]],products!$A$1:$A$49,products!$G$1:$G$49,,0)</f>
        <v>1.0101</v>
      </c>
      <c r="Q397" s="13">
        <f t="shared" si="31"/>
        <v>6.0606</v>
      </c>
      <c r="R397" t="str">
        <f t="shared" si="33"/>
        <v>Liberica</v>
      </c>
      <c r="S397" t="str">
        <f t="shared" si="34"/>
        <v>Dark</v>
      </c>
      <c r="T397" t="str">
        <f>_xlfn.XLOOKUP(Orders[[#This Row],[Customer ID]],customers!$A$1:$A$1001,customers!$I$1:$I$1001,,0)</f>
        <v>Yes</v>
      </c>
    </row>
    <row r="398" spans="1:20" x14ac:dyDescent="0.35">
      <c r="A398" s="2" t="s">
        <v>2721</v>
      </c>
      <c r="B398" s="3">
        <v>44140</v>
      </c>
      <c r="C398" s="2" t="s">
        <v>2722</v>
      </c>
      <c r="D398" t="s">
        <v>6180</v>
      </c>
      <c r="E398" t="str">
        <f t="shared" si="32"/>
        <v>Arabica-Light-0.5</v>
      </c>
      <c r="F398" s="2">
        <v>5</v>
      </c>
      <c r="G398" s="2" t="str" cm="1">
        <f t="array" ref="G398">_xlfn.XLOOKUP(C398, customers!$A$1:A1397,customers!$B$1:B1397,,0)</f>
        <v>Xenos Gibbons</v>
      </c>
      <c r="H398" s="2" t="str" cm="1">
        <f t="array" ref="H398">IF(_xlfn.XLOOKUP(C398,customers!$A$1:A1397,customers!$C$1:C1397,,0) = 0,"", _xlfn.XLOOKUP(C398,customers!$A$1:A1397,customers!$C$1:C1397,,0))</f>
        <v>xgibbonsb0@artisteer.com</v>
      </c>
      <c r="I398" s="2" t="str">
        <f>_xlfn.XLOOKUP(C398,customers!$A$1:$A$1001,customers!$G$1:$G$1001,,0)</f>
        <v>United States</v>
      </c>
      <c r="J398" s="2" t="str">
        <f>_xlfn.XLOOKUP(Orders[[#This Row],[Customer ID]],customers!$A$1:$A$1001,customers!$F$1:$F$1001,,0)</f>
        <v>San Bernardino</v>
      </c>
      <c r="K398" t="str">
        <f>INDEX(products!$A$1:$G$49,MATCH(orders!$D398,products!$A$1:$A$49,0),MATCH(orders!K$1,products!$A$1:$G$1,0))</f>
        <v>Ara</v>
      </c>
      <c r="L398" t="str">
        <f>INDEX(products!$A$1:$G$49,MATCH(orders!$D398,products!$A$1:$A$49,0),MATCH(orders!L$1,products!$A$1:$G$1,0))</f>
        <v>L</v>
      </c>
      <c r="M398" s="14">
        <f>INDEX(products!$A$1:$G$49,MATCH(orders!$D398,products!$A$1:$A$49,0),MATCH(orders!M$1,products!$A$1:$G$1,0))</f>
        <v>0.5</v>
      </c>
      <c r="N398" s="4">
        <f>INDEX(products!$A$1:$G$49,MATCH(orders!$D398,products!$A$1:$A$49,0),MATCH(orders!N$1,products!$A$1:$G$1,0))</f>
        <v>7.77</v>
      </c>
      <c r="O398" s="13">
        <f t="shared" si="30"/>
        <v>38.849999999999994</v>
      </c>
      <c r="P398" s="13">
        <f>_xlfn.XLOOKUP(Orders[[#This Row],[Product ID]],products!$A$1:$A$49,products!$G$1:$G$49,,0)</f>
        <v>0.69929999999999992</v>
      </c>
      <c r="Q398" s="13">
        <f t="shared" si="31"/>
        <v>3.4964999999999997</v>
      </c>
      <c r="R398" t="str">
        <f t="shared" si="33"/>
        <v>Arabica</v>
      </c>
      <c r="S398" t="str">
        <f t="shared" si="34"/>
        <v>Light</v>
      </c>
      <c r="T398" t="str">
        <f>_xlfn.XLOOKUP(Orders[[#This Row],[Customer ID]],customers!$A$1:$A$1001,customers!$I$1:$I$1001,,0)</f>
        <v>No</v>
      </c>
    </row>
    <row r="399" spans="1:20" x14ac:dyDescent="0.35">
      <c r="A399" s="2" t="s">
        <v>2727</v>
      </c>
      <c r="B399" s="3">
        <v>43720</v>
      </c>
      <c r="C399" s="2" t="s">
        <v>2728</v>
      </c>
      <c r="D399" t="s">
        <v>6169</v>
      </c>
      <c r="E399" t="str">
        <f t="shared" si="32"/>
        <v>Liberica-Dark-0.5</v>
      </c>
      <c r="F399" s="2">
        <v>4</v>
      </c>
      <c r="G399" s="2" t="str" cm="1">
        <f t="array" ref="G399">_xlfn.XLOOKUP(C399, customers!$A$1:A1398,customers!$B$1:B1398,,0)</f>
        <v>Fleur Parres</v>
      </c>
      <c r="H399" s="2" t="str" cm="1">
        <f t="array" ref="H399">IF(_xlfn.XLOOKUP(C399,customers!$A$1:A1398,customers!$C$1:C1398,,0) = 0,"", _xlfn.XLOOKUP(C399,customers!$A$1:A1398,customers!$C$1:C1398,,0))</f>
        <v>fparresb1@imageshack.us</v>
      </c>
      <c r="I399" s="2" t="str">
        <f>_xlfn.XLOOKUP(C399,customers!$A$1:$A$1001,customers!$G$1:$G$1001,,0)</f>
        <v>United States</v>
      </c>
      <c r="J399" s="2" t="str">
        <f>_xlfn.XLOOKUP(Orders[[#This Row],[Customer ID]],customers!$A$1:$A$1001,customers!$F$1:$F$1001,,0)</f>
        <v>Rochester</v>
      </c>
      <c r="K399" t="str">
        <f>INDEX(products!$A$1:$G$49,MATCH(orders!$D399,products!$A$1:$A$49,0),MATCH(orders!K$1,products!$A$1:$G$1,0))</f>
        <v>Lib</v>
      </c>
      <c r="L399" t="str">
        <f>INDEX(products!$A$1:$G$49,MATCH(orders!$D399,products!$A$1:$A$49,0),MATCH(orders!L$1,products!$A$1:$G$1,0))</f>
        <v>D</v>
      </c>
      <c r="M399" s="14">
        <f>INDEX(products!$A$1:$G$49,MATCH(orders!$D399,products!$A$1:$A$49,0),MATCH(orders!M$1,products!$A$1:$G$1,0))</f>
        <v>0.5</v>
      </c>
      <c r="N399" s="4">
        <f>INDEX(products!$A$1:$G$49,MATCH(orders!$D399,products!$A$1:$A$49,0),MATCH(orders!N$1,products!$A$1:$G$1,0))</f>
        <v>7.77</v>
      </c>
      <c r="O399" s="13">
        <f t="shared" si="30"/>
        <v>31.08</v>
      </c>
      <c r="P399" s="13">
        <f>_xlfn.XLOOKUP(Orders[[#This Row],[Product ID]],products!$A$1:$A$49,products!$G$1:$G$49,,0)</f>
        <v>1.0101</v>
      </c>
      <c r="Q399" s="13">
        <f t="shared" si="31"/>
        <v>4.0404</v>
      </c>
      <c r="R399" t="str">
        <f t="shared" si="33"/>
        <v>Liberica</v>
      </c>
      <c r="S399" t="str">
        <f t="shared" si="34"/>
        <v>Dark</v>
      </c>
      <c r="T399" t="str">
        <f>_xlfn.XLOOKUP(Orders[[#This Row],[Customer ID]],customers!$A$1:$A$1001,customers!$I$1:$I$1001,,0)</f>
        <v>Yes</v>
      </c>
    </row>
    <row r="400" spans="1:20" x14ac:dyDescent="0.35">
      <c r="A400" s="2" t="s">
        <v>2733</v>
      </c>
      <c r="B400" s="3">
        <v>43677</v>
      </c>
      <c r="C400" s="2" t="s">
        <v>2734</v>
      </c>
      <c r="D400" t="s">
        <v>6154</v>
      </c>
      <c r="E400" t="str">
        <f t="shared" si="32"/>
        <v>Arabica-Dark-0.2</v>
      </c>
      <c r="F400" s="2">
        <v>6</v>
      </c>
      <c r="G400" s="2" t="str" cm="1">
        <f t="array" ref="G400">_xlfn.XLOOKUP(C400, customers!$A$1:A1399,customers!$B$1:B1399,,0)</f>
        <v>Gran Sibray</v>
      </c>
      <c r="H400" s="2" t="str" cm="1">
        <f t="array" ref="H400">IF(_xlfn.XLOOKUP(C400,customers!$A$1:A1399,customers!$C$1:C1399,,0) = 0,"", _xlfn.XLOOKUP(C400,customers!$A$1:A1399,customers!$C$1:C1399,,0))</f>
        <v>gsibrayb2@wsj.com</v>
      </c>
      <c r="I400" s="2" t="str">
        <f>_xlfn.XLOOKUP(C400,customers!$A$1:$A$1001,customers!$G$1:$G$1001,,0)</f>
        <v>United States</v>
      </c>
      <c r="J400" s="2" t="str">
        <f>_xlfn.XLOOKUP(Orders[[#This Row],[Customer ID]],customers!$A$1:$A$1001,customers!$F$1:$F$1001,,0)</f>
        <v>Vancouver</v>
      </c>
      <c r="K400" t="str">
        <f>INDEX(products!$A$1:$G$49,MATCH(orders!$D400,products!$A$1:$A$49,0),MATCH(orders!K$1,products!$A$1:$G$1,0))</f>
        <v>Ara</v>
      </c>
      <c r="L400" t="str">
        <f>INDEX(products!$A$1:$G$49,MATCH(orders!$D400,products!$A$1:$A$49,0),MATCH(orders!L$1,products!$A$1:$G$1,0))</f>
        <v>D</v>
      </c>
      <c r="M400" s="14">
        <f>INDEX(products!$A$1:$G$49,MATCH(orders!$D400,products!$A$1:$A$49,0),MATCH(orders!M$1,products!$A$1:$G$1,0))</f>
        <v>0.2</v>
      </c>
      <c r="N400" s="4">
        <f>INDEX(products!$A$1:$G$49,MATCH(orders!$D400,products!$A$1:$A$49,0),MATCH(orders!N$1,products!$A$1:$G$1,0))</f>
        <v>2.9849999999999999</v>
      </c>
      <c r="O400" s="13">
        <f t="shared" si="30"/>
        <v>17.91</v>
      </c>
      <c r="P400" s="13">
        <f>_xlfn.XLOOKUP(Orders[[#This Row],[Product ID]],products!$A$1:$A$49,products!$G$1:$G$49,,0)</f>
        <v>0.26865</v>
      </c>
      <c r="Q400" s="13">
        <f t="shared" si="31"/>
        <v>1.6118999999999999</v>
      </c>
      <c r="R400" t="str">
        <f t="shared" si="33"/>
        <v>Arabica</v>
      </c>
      <c r="S400" t="str">
        <f t="shared" si="34"/>
        <v>Dark</v>
      </c>
      <c r="T400" t="str">
        <f>_xlfn.XLOOKUP(Orders[[#This Row],[Customer ID]],customers!$A$1:$A$1001,customers!$I$1:$I$1001,,0)</f>
        <v>Yes</v>
      </c>
    </row>
    <row r="401" spans="1:20" x14ac:dyDescent="0.35">
      <c r="A401" s="2" t="s">
        <v>2739</v>
      </c>
      <c r="B401" s="3">
        <v>43539</v>
      </c>
      <c r="C401" s="2" t="s">
        <v>2740</v>
      </c>
      <c r="D401" t="s">
        <v>6185</v>
      </c>
      <c r="E401" t="str">
        <f t="shared" si="32"/>
        <v>Excelsa-Dark-2.5</v>
      </c>
      <c r="F401" s="2">
        <v>6</v>
      </c>
      <c r="G401" s="2" t="str" cm="1">
        <f t="array" ref="G401">_xlfn.XLOOKUP(C401, customers!$A$1:A1400,customers!$B$1:B1400,,0)</f>
        <v>Ingelbert Hotchkin</v>
      </c>
      <c r="H401" s="2" t="str" cm="1">
        <f t="array" ref="H401">IF(_xlfn.XLOOKUP(C401,customers!$A$1:A1400,customers!$C$1:C1400,,0) = 0,"", _xlfn.XLOOKUP(C401,customers!$A$1:A1400,customers!$C$1:C1400,,0))</f>
        <v>ihotchkinb3@mit.edu</v>
      </c>
      <c r="I401" s="2" t="str">
        <f>_xlfn.XLOOKUP(C401,customers!$A$1:$A$1001,customers!$G$1:$G$1001,,0)</f>
        <v>United Kingdom</v>
      </c>
      <c r="J401" s="2" t="str">
        <f>_xlfn.XLOOKUP(Orders[[#This Row],[Customer ID]],customers!$A$1:$A$1001,customers!$F$1:$F$1001,,0)</f>
        <v>Preston</v>
      </c>
      <c r="K401" t="str">
        <f>INDEX(products!$A$1:$G$49,MATCH(orders!$D401,products!$A$1:$A$49,0),MATCH(orders!K$1,products!$A$1:$G$1,0))</f>
        <v>Exc</v>
      </c>
      <c r="L401" t="str">
        <f>INDEX(products!$A$1:$G$49,MATCH(orders!$D401,products!$A$1:$A$49,0),MATCH(orders!L$1,products!$A$1:$G$1,0))</f>
        <v>D</v>
      </c>
      <c r="M401" s="14">
        <f>INDEX(products!$A$1:$G$49,MATCH(orders!$D401,products!$A$1:$A$49,0),MATCH(orders!M$1,products!$A$1:$G$1,0))</f>
        <v>2.5</v>
      </c>
      <c r="N401" s="4">
        <f>INDEX(products!$A$1:$G$49,MATCH(orders!$D401,products!$A$1:$A$49,0),MATCH(orders!N$1,products!$A$1:$G$1,0))</f>
        <v>27.945</v>
      </c>
      <c r="O401" s="13">
        <f t="shared" si="30"/>
        <v>167.67000000000002</v>
      </c>
      <c r="P401" s="13">
        <f>_xlfn.XLOOKUP(Orders[[#This Row],[Product ID]],products!$A$1:$A$49,products!$G$1:$G$49,,0)</f>
        <v>3.07395</v>
      </c>
      <c r="Q401" s="13">
        <f t="shared" si="31"/>
        <v>18.4437</v>
      </c>
      <c r="R401" t="str">
        <f t="shared" si="33"/>
        <v>Execelsa</v>
      </c>
      <c r="S401" t="str">
        <f t="shared" si="34"/>
        <v>Dark</v>
      </c>
      <c r="T401" t="str">
        <f>_xlfn.XLOOKUP(Orders[[#This Row],[Customer ID]],customers!$A$1:$A$1001,customers!$I$1:$I$1001,,0)</f>
        <v>No</v>
      </c>
    </row>
    <row r="402" spans="1:20" x14ac:dyDescent="0.35">
      <c r="A402" s="2" t="s">
        <v>2745</v>
      </c>
      <c r="B402" s="3">
        <v>44332</v>
      </c>
      <c r="C402" s="2" t="s">
        <v>2746</v>
      </c>
      <c r="D402" t="s">
        <v>6170</v>
      </c>
      <c r="E402" t="str">
        <f t="shared" si="32"/>
        <v>Liberica-Light-1</v>
      </c>
      <c r="F402" s="2">
        <v>4</v>
      </c>
      <c r="G402" s="2" t="str" cm="1">
        <f t="array" ref="G402">_xlfn.XLOOKUP(C402, customers!$A$1:A1401,customers!$B$1:B1401,,0)</f>
        <v>Neely Broadberrie</v>
      </c>
      <c r="H402" s="2" t="str" cm="1">
        <f t="array" ref="H402">IF(_xlfn.XLOOKUP(C402,customers!$A$1:A1401,customers!$C$1:C1401,,0) = 0,"", _xlfn.XLOOKUP(C402,customers!$A$1:A1401,customers!$C$1:C1401,,0))</f>
        <v>nbroadberrieb4@gnu.org</v>
      </c>
      <c r="I402" s="2" t="str">
        <f>_xlfn.XLOOKUP(C402,customers!$A$1:$A$1001,customers!$G$1:$G$1001,,0)</f>
        <v>United States</v>
      </c>
      <c r="J402" s="2" t="str">
        <f>_xlfn.XLOOKUP(Orders[[#This Row],[Customer ID]],customers!$A$1:$A$1001,customers!$F$1:$F$1001,,0)</f>
        <v>Washington</v>
      </c>
      <c r="K402" t="str">
        <f>INDEX(products!$A$1:$G$49,MATCH(orders!$D402,products!$A$1:$A$49,0),MATCH(orders!K$1,products!$A$1:$G$1,0))</f>
        <v>Lib</v>
      </c>
      <c r="L402" t="str">
        <f>INDEX(products!$A$1:$G$49,MATCH(orders!$D402,products!$A$1:$A$49,0),MATCH(orders!L$1,products!$A$1:$G$1,0))</f>
        <v>L</v>
      </c>
      <c r="M402" s="14">
        <f>INDEX(products!$A$1:$G$49,MATCH(orders!$D402,products!$A$1:$A$49,0),MATCH(orders!M$1,products!$A$1:$G$1,0))</f>
        <v>1</v>
      </c>
      <c r="N402" s="4">
        <f>INDEX(products!$A$1:$G$49,MATCH(orders!$D402,products!$A$1:$A$49,0),MATCH(orders!N$1,products!$A$1:$G$1,0))</f>
        <v>15.85</v>
      </c>
      <c r="O402" s="13">
        <f t="shared" si="30"/>
        <v>63.4</v>
      </c>
      <c r="P402" s="13">
        <f>_xlfn.XLOOKUP(Orders[[#This Row],[Product ID]],products!$A$1:$A$49,products!$G$1:$G$49,,0)</f>
        <v>2.0605000000000002</v>
      </c>
      <c r="Q402" s="13">
        <f t="shared" si="31"/>
        <v>8.2420000000000009</v>
      </c>
      <c r="R402" t="str">
        <f t="shared" si="33"/>
        <v>Liberica</v>
      </c>
      <c r="S402" t="str">
        <f t="shared" si="34"/>
        <v>Light</v>
      </c>
      <c r="T402" t="str">
        <f>_xlfn.XLOOKUP(Orders[[#This Row],[Customer ID]],customers!$A$1:$A$1001,customers!$I$1:$I$1001,,0)</f>
        <v>No</v>
      </c>
    </row>
    <row r="403" spans="1:20" x14ac:dyDescent="0.35">
      <c r="A403" s="2" t="s">
        <v>2751</v>
      </c>
      <c r="B403" s="3">
        <v>43591</v>
      </c>
      <c r="C403" s="2" t="s">
        <v>2752</v>
      </c>
      <c r="D403" t="s">
        <v>6159</v>
      </c>
      <c r="E403" t="str">
        <f t="shared" si="32"/>
        <v>Liberica-Medium-0.2</v>
      </c>
      <c r="F403" s="2">
        <v>2</v>
      </c>
      <c r="G403" s="2" t="str" cm="1">
        <f t="array" ref="G403">_xlfn.XLOOKUP(C403, customers!$A$1:A1402,customers!$B$1:B1402,,0)</f>
        <v>Rutger Pithcock</v>
      </c>
      <c r="H403" s="2" t="str" cm="1">
        <f t="array" ref="H403">IF(_xlfn.XLOOKUP(C403,customers!$A$1:A1402,customers!$C$1:C1402,,0) = 0,"", _xlfn.XLOOKUP(C403,customers!$A$1:A1402,customers!$C$1:C1402,,0))</f>
        <v>rpithcockb5@yellowbook.com</v>
      </c>
      <c r="I403" s="2" t="str">
        <f>_xlfn.XLOOKUP(C403,customers!$A$1:$A$1001,customers!$G$1:$G$1001,,0)</f>
        <v>United States</v>
      </c>
      <c r="J403" s="2" t="str">
        <f>_xlfn.XLOOKUP(Orders[[#This Row],[Customer ID]],customers!$A$1:$A$1001,customers!$F$1:$F$1001,,0)</f>
        <v>Knoxville</v>
      </c>
      <c r="K403" t="str">
        <f>INDEX(products!$A$1:$G$49,MATCH(orders!$D403,products!$A$1:$A$49,0),MATCH(orders!K$1,products!$A$1:$G$1,0))</f>
        <v>Lib</v>
      </c>
      <c r="L403" t="str">
        <f>INDEX(products!$A$1:$G$49,MATCH(orders!$D403,products!$A$1:$A$49,0),MATCH(orders!L$1,products!$A$1:$G$1,0))</f>
        <v>M</v>
      </c>
      <c r="M403" s="14">
        <f>INDEX(products!$A$1:$G$49,MATCH(orders!$D403,products!$A$1:$A$49,0),MATCH(orders!M$1,products!$A$1:$G$1,0))</f>
        <v>0.2</v>
      </c>
      <c r="N403" s="4">
        <f>INDEX(products!$A$1:$G$49,MATCH(orders!$D403,products!$A$1:$A$49,0),MATCH(orders!N$1,products!$A$1:$G$1,0))</f>
        <v>4.3650000000000002</v>
      </c>
      <c r="O403" s="13">
        <f t="shared" si="30"/>
        <v>8.73</v>
      </c>
      <c r="P403" s="13">
        <f>_xlfn.XLOOKUP(Orders[[#This Row],[Product ID]],products!$A$1:$A$49,products!$G$1:$G$49,,0)</f>
        <v>0.56745000000000001</v>
      </c>
      <c r="Q403" s="13">
        <f t="shared" si="31"/>
        <v>1.1349</v>
      </c>
      <c r="R403" t="str">
        <f t="shared" si="33"/>
        <v>Liberica</v>
      </c>
      <c r="S403" t="str">
        <f t="shared" si="34"/>
        <v>Medium</v>
      </c>
      <c r="T403" t="str">
        <f>_xlfn.XLOOKUP(Orders[[#This Row],[Customer ID]],customers!$A$1:$A$1001,customers!$I$1:$I$1001,,0)</f>
        <v>Yes</v>
      </c>
    </row>
    <row r="404" spans="1:20" x14ac:dyDescent="0.35">
      <c r="A404" s="2" t="s">
        <v>2757</v>
      </c>
      <c r="B404" s="3">
        <v>43502</v>
      </c>
      <c r="C404" s="2" t="s">
        <v>2758</v>
      </c>
      <c r="D404" t="s">
        <v>6177</v>
      </c>
      <c r="E404" t="str">
        <f t="shared" si="32"/>
        <v>Robusta-Dark-1</v>
      </c>
      <c r="F404" s="2">
        <v>3</v>
      </c>
      <c r="G404" s="2" t="str" cm="1">
        <f t="array" ref="G404">_xlfn.XLOOKUP(C404, customers!$A$1:A1403,customers!$B$1:B1403,,0)</f>
        <v>Gale Croysdale</v>
      </c>
      <c r="H404" s="2" t="str" cm="1">
        <f t="array" ref="H404">IF(_xlfn.XLOOKUP(C404,customers!$A$1:A1403,customers!$C$1:C1403,,0) = 0,"", _xlfn.XLOOKUP(C404,customers!$A$1:A1403,customers!$C$1:C1403,,0))</f>
        <v>gcroysdaleb6@nih.gov</v>
      </c>
      <c r="I404" s="2" t="str">
        <f>_xlfn.XLOOKUP(C404,customers!$A$1:$A$1001,customers!$G$1:$G$1001,,0)</f>
        <v>United States</v>
      </c>
      <c r="J404" s="2" t="str">
        <f>_xlfn.XLOOKUP(Orders[[#This Row],[Customer ID]],customers!$A$1:$A$1001,customers!$F$1:$F$1001,,0)</f>
        <v>Charleston</v>
      </c>
      <c r="K404" t="str">
        <f>INDEX(products!$A$1:$G$49,MATCH(orders!$D404,products!$A$1:$A$49,0),MATCH(orders!K$1,products!$A$1:$G$1,0))</f>
        <v>Rob</v>
      </c>
      <c r="L404" t="str">
        <f>INDEX(products!$A$1:$G$49,MATCH(orders!$D404,products!$A$1:$A$49,0),MATCH(orders!L$1,products!$A$1:$G$1,0))</f>
        <v>D</v>
      </c>
      <c r="M404" s="14">
        <f>INDEX(products!$A$1:$G$49,MATCH(orders!$D404,products!$A$1:$A$49,0),MATCH(orders!M$1,products!$A$1:$G$1,0))</f>
        <v>1</v>
      </c>
      <c r="N404" s="4">
        <f>INDEX(products!$A$1:$G$49,MATCH(orders!$D404,products!$A$1:$A$49,0),MATCH(orders!N$1,products!$A$1:$G$1,0))</f>
        <v>8.9499999999999993</v>
      </c>
      <c r="O404" s="13">
        <f t="shared" si="30"/>
        <v>26.849999999999998</v>
      </c>
      <c r="P404" s="13">
        <f>_xlfn.XLOOKUP(Orders[[#This Row],[Product ID]],products!$A$1:$A$49,products!$G$1:$G$49,,0)</f>
        <v>0.53699999999999992</v>
      </c>
      <c r="Q404" s="13">
        <f t="shared" si="31"/>
        <v>1.6109999999999998</v>
      </c>
      <c r="R404" t="str">
        <f t="shared" si="33"/>
        <v>Robusta</v>
      </c>
      <c r="S404" t="str">
        <f t="shared" si="34"/>
        <v>Dark</v>
      </c>
      <c r="T404" t="str">
        <f>_xlfn.XLOOKUP(Orders[[#This Row],[Customer ID]],customers!$A$1:$A$1001,customers!$I$1:$I$1001,,0)</f>
        <v>Yes</v>
      </c>
    </row>
    <row r="405" spans="1:20" x14ac:dyDescent="0.35">
      <c r="A405" s="2" t="s">
        <v>2763</v>
      </c>
      <c r="B405" s="3">
        <v>44295</v>
      </c>
      <c r="C405" s="2" t="s">
        <v>2764</v>
      </c>
      <c r="D405" t="s">
        <v>6145</v>
      </c>
      <c r="E405" t="str">
        <f t="shared" si="32"/>
        <v>Liberica-Light-0.2</v>
      </c>
      <c r="F405" s="2">
        <v>2</v>
      </c>
      <c r="G405" s="2" t="str" cm="1">
        <f t="array" ref="G405">_xlfn.XLOOKUP(C405, customers!$A$1:A1404,customers!$B$1:B1404,,0)</f>
        <v>Benedetto Gozzett</v>
      </c>
      <c r="H405" s="2" t="str" cm="1">
        <f t="array" ref="H405">IF(_xlfn.XLOOKUP(C405,customers!$A$1:A1404,customers!$C$1:C1404,,0) = 0,"", _xlfn.XLOOKUP(C405,customers!$A$1:A1404,customers!$C$1:C1404,,0))</f>
        <v>bgozzettb7@github.com</v>
      </c>
      <c r="I405" s="2" t="str">
        <f>_xlfn.XLOOKUP(C405,customers!$A$1:$A$1001,customers!$G$1:$G$1001,,0)</f>
        <v>United States</v>
      </c>
      <c r="J405" s="2" t="str">
        <f>_xlfn.XLOOKUP(Orders[[#This Row],[Customer ID]],customers!$A$1:$A$1001,customers!$F$1:$F$1001,,0)</f>
        <v>Dallas</v>
      </c>
      <c r="K405" t="str">
        <f>INDEX(products!$A$1:$G$49,MATCH(orders!$D405,products!$A$1:$A$49,0),MATCH(orders!K$1,products!$A$1:$G$1,0))</f>
        <v>Lib</v>
      </c>
      <c r="L405" t="str">
        <f>INDEX(products!$A$1:$G$49,MATCH(orders!$D405,products!$A$1:$A$49,0),MATCH(orders!L$1,products!$A$1:$G$1,0))</f>
        <v>L</v>
      </c>
      <c r="M405" s="14">
        <f>INDEX(products!$A$1:$G$49,MATCH(orders!$D405,products!$A$1:$A$49,0),MATCH(orders!M$1,products!$A$1:$G$1,0))</f>
        <v>0.2</v>
      </c>
      <c r="N405" s="4">
        <f>INDEX(products!$A$1:$G$49,MATCH(orders!$D405,products!$A$1:$A$49,0),MATCH(orders!N$1,products!$A$1:$G$1,0))</f>
        <v>4.7549999999999999</v>
      </c>
      <c r="O405" s="13">
        <f t="shared" si="30"/>
        <v>9.51</v>
      </c>
      <c r="P405" s="13">
        <f>_xlfn.XLOOKUP(Orders[[#This Row],[Product ID]],products!$A$1:$A$49,products!$G$1:$G$49,,0)</f>
        <v>0.61814999999999998</v>
      </c>
      <c r="Q405" s="13">
        <f t="shared" si="31"/>
        <v>1.2363</v>
      </c>
      <c r="R405" t="str">
        <f t="shared" si="33"/>
        <v>Liberica</v>
      </c>
      <c r="S405" t="str">
        <f t="shared" si="34"/>
        <v>Light</v>
      </c>
      <c r="T405" t="str">
        <f>_xlfn.XLOOKUP(Orders[[#This Row],[Customer ID]],customers!$A$1:$A$1001,customers!$I$1:$I$1001,,0)</f>
        <v>No</v>
      </c>
    </row>
    <row r="406" spans="1:20" x14ac:dyDescent="0.35">
      <c r="A406" s="2" t="s">
        <v>2769</v>
      </c>
      <c r="B406" s="3">
        <v>43971</v>
      </c>
      <c r="C406" s="2" t="s">
        <v>2770</v>
      </c>
      <c r="D406" t="s">
        <v>6147</v>
      </c>
      <c r="E406" t="str">
        <f t="shared" si="32"/>
        <v>Arabica-Dark-1</v>
      </c>
      <c r="F406" s="2">
        <v>4</v>
      </c>
      <c r="G406" s="2" t="str" cm="1">
        <f t="array" ref="G406">_xlfn.XLOOKUP(C406, customers!$A$1:A1405,customers!$B$1:B1405,,0)</f>
        <v>Tania Craggs</v>
      </c>
      <c r="H406" s="2" t="str" cm="1">
        <f t="array" ref="H406">IF(_xlfn.XLOOKUP(C406,customers!$A$1:A1405,customers!$C$1:C1405,,0) = 0,"", _xlfn.XLOOKUP(C406,customers!$A$1:A1405,customers!$C$1:C1405,,0))</f>
        <v>tcraggsb8@house.gov</v>
      </c>
      <c r="I406" s="2" t="str">
        <f>_xlfn.XLOOKUP(C406,customers!$A$1:$A$1001,customers!$G$1:$G$1001,,0)</f>
        <v>Ireland</v>
      </c>
      <c r="J406" s="2" t="str">
        <f>_xlfn.XLOOKUP(Orders[[#This Row],[Customer ID]],customers!$A$1:$A$1001,customers!$F$1:$F$1001,,0)</f>
        <v>Whitegate</v>
      </c>
      <c r="K406" t="str">
        <f>INDEX(products!$A$1:$G$49,MATCH(orders!$D406,products!$A$1:$A$49,0),MATCH(orders!K$1,products!$A$1:$G$1,0))</f>
        <v>Ara</v>
      </c>
      <c r="L406" t="str">
        <f>INDEX(products!$A$1:$G$49,MATCH(orders!$D406,products!$A$1:$A$49,0),MATCH(orders!L$1,products!$A$1:$G$1,0))</f>
        <v>D</v>
      </c>
      <c r="M406" s="14">
        <f>INDEX(products!$A$1:$G$49,MATCH(orders!$D406,products!$A$1:$A$49,0),MATCH(orders!M$1,products!$A$1:$G$1,0))</f>
        <v>1</v>
      </c>
      <c r="N406" s="4">
        <f>INDEX(products!$A$1:$G$49,MATCH(orders!$D406,products!$A$1:$A$49,0),MATCH(orders!N$1,products!$A$1:$G$1,0))</f>
        <v>9.9499999999999993</v>
      </c>
      <c r="O406" s="13">
        <f t="shared" si="30"/>
        <v>39.799999999999997</v>
      </c>
      <c r="P406" s="13">
        <f>_xlfn.XLOOKUP(Orders[[#This Row],[Product ID]],products!$A$1:$A$49,products!$G$1:$G$49,,0)</f>
        <v>0.89549999999999985</v>
      </c>
      <c r="Q406" s="13">
        <f t="shared" si="31"/>
        <v>3.5819999999999994</v>
      </c>
      <c r="R406" t="str">
        <f t="shared" si="33"/>
        <v>Arabica</v>
      </c>
      <c r="S406" t="str">
        <f t="shared" si="34"/>
        <v>Dark</v>
      </c>
      <c r="T406" t="str">
        <f>_xlfn.XLOOKUP(Orders[[#This Row],[Customer ID]],customers!$A$1:$A$1001,customers!$I$1:$I$1001,,0)</f>
        <v>No</v>
      </c>
    </row>
    <row r="407" spans="1:20" x14ac:dyDescent="0.35">
      <c r="A407" s="2" t="s">
        <v>2775</v>
      </c>
      <c r="B407" s="3">
        <v>44167</v>
      </c>
      <c r="C407" s="2" t="s">
        <v>2776</v>
      </c>
      <c r="D407" t="s">
        <v>6139</v>
      </c>
      <c r="E407" t="str">
        <f t="shared" si="32"/>
        <v>Excelsa-Medium-0.5</v>
      </c>
      <c r="F407" s="2">
        <v>3</v>
      </c>
      <c r="G407" s="2" t="str" cm="1">
        <f t="array" ref="G407">_xlfn.XLOOKUP(C407, customers!$A$1:A1406,customers!$B$1:B1406,,0)</f>
        <v>Leonie Cullrford</v>
      </c>
      <c r="H407" s="2" t="str" cm="1">
        <f t="array" ref="H407">IF(_xlfn.XLOOKUP(C407,customers!$A$1:A1406,customers!$C$1:C1406,,0) = 0,"", _xlfn.XLOOKUP(C407,customers!$A$1:A1406,customers!$C$1:C1406,,0))</f>
        <v>lcullrfordb9@xing.com</v>
      </c>
      <c r="I407" s="2" t="str">
        <f>_xlfn.XLOOKUP(C407,customers!$A$1:$A$1001,customers!$G$1:$G$1001,,0)</f>
        <v>United States</v>
      </c>
      <c r="J407" s="2" t="str">
        <f>_xlfn.XLOOKUP(Orders[[#This Row],[Customer ID]],customers!$A$1:$A$1001,customers!$F$1:$F$1001,,0)</f>
        <v>Chico</v>
      </c>
      <c r="K407" t="str">
        <f>INDEX(products!$A$1:$G$49,MATCH(orders!$D407,products!$A$1:$A$49,0),MATCH(orders!K$1,products!$A$1:$G$1,0))</f>
        <v>Exc</v>
      </c>
      <c r="L407" t="str">
        <f>INDEX(products!$A$1:$G$49,MATCH(orders!$D407,products!$A$1:$A$49,0),MATCH(orders!L$1,products!$A$1:$G$1,0))</f>
        <v>M</v>
      </c>
      <c r="M407" s="14">
        <f>INDEX(products!$A$1:$G$49,MATCH(orders!$D407,products!$A$1:$A$49,0),MATCH(orders!M$1,products!$A$1:$G$1,0))</f>
        <v>0.5</v>
      </c>
      <c r="N407" s="4">
        <f>INDEX(products!$A$1:$G$49,MATCH(orders!$D407,products!$A$1:$A$49,0),MATCH(orders!N$1,products!$A$1:$G$1,0))</f>
        <v>8.25</v>
      </c>
      <c r="O407" s="13">
        <f t="shared" si="30"/>
        <v>24.75</v>
      </c>
      <c r="P407" s="13">
        <f>_xlfn.XLOOKUP(Orders[[#This Row],[Product ID]],products!$A$1:$A$49,products!$G$1:$G$49,,0)</f>
        <v>0.90749999999999997</v>
      </c>
      <c r="Q407" s="13">
        <f t="shared" si="31"/>
        <v>2.7225000000000001</v>
      </c>
      <c r="R407" t="str">
        <f t="shared" si="33"/>
        <v>Execelsa</v>
      </c>
      <c r="S407" t="str">
        <f t="shared" si="34"/>
        <v>Medium</v>
      </c>
      <c r="T407" t="str">
        <f>_xlfn.XLOOKUP(Orders[[#This Row],[Customer ID]],customers!$A$1:$A$1001,customers!$I$1:$I$1001,,0)</f>
        <v>Yes</v>
      </c>
    </row>
    <row r="408" spans="1:20" x14ac:dyDescent="0.35">
      <c r="A408" s="2" t="s">
        <v>2781</v>
      </c>
      <c r="B408" s="3">
        <v>44416</v>
      </c>
      <c r="C408" s="2" t="s">
        <v>2782</v>
      </c>
      <c r="D408" t="s">
        <v>6141</v>
      </c>
      <c r="E408" t="str">
        <f t="shared" si="32"/>
        <v>Excelsa-Medium-1</v>
      </c>
      <c r="F408" s="2">
        <v>5</v>
      </c>
      <c r="G408" s="2" t="str" cm="1">
        <f t="array" ref="G408">_xlfn.XLOOKUP(C408, customers!$A$1:A1407,customers!$B$1:B1407,,0)</f>
        <v>Auguste Rizon</v>
      </c>
      <c r="H408" s="2" t="str" cm="1">
        <f t="array" ref="H408">IF(_xlfn.XLOOKUP(C408,customers!$A$1:A1407,customers!$C$1:C1407,,0) = 0,"", _xlfn.XLOOKUP(C408,customers!$A$1:A1407,customers!$C$1:C1407,,0))</f>
        <v>arizonba@xing.com</v>
      </c>
      <c r="I408" s="2" t="str">
        <f>_xlfn.XLOOKUP(C408,customers!$A$1:$A$1001,customers!$G$1:$G$1001,,0)</f>
        <v>United States</v>
      </c>
      <c r="J408" s="2" t="str">
        <f>_xlfn.XLOOKUP(Orders[[#This Row],[Customer ID]],customers!$A$1:$A$1001,customers!$F$1:$F$1001,,0)</f>
        <v>Little Rock</v>
      </c>
      <c r="K408" t="str">
        <f>INDEX(products!$A$1:$G$49,MATCH(orders!$D408,products!$A$1:$A$49,0),MATCH(orders!K$1,products!$A$1:$G$1,0))</f>
        <v>Exc</v>
      </c>
      <c r="L408" t="str">
        <f>INDEX(products!$A$1:$G$49,MATCH(orders!$D408,products!$A$1:$A$49,0),MATCH(orders!L$1,products!$A$1:$G$1,0))</f>
        <v>M</v>
      </c>
      <c r="M408" s="14">
        <f>INDEX(products!$A$1:$G$49,MATCH(orders!$D408,products!$A$1:$A$49,0),MATCH(orders!M$1,products!$A$1:$G$1,0))</f>
        <v>1</v>
      </c>
      <c r="N408" s="4">
        <f>INDEX(products!$A$1:$G$49,MATCH(orders!$D408,products!$A$1:$A$49,0),MATCH(orders!N$1,products!$A$1:$G$1,0))</f>
        <v>13.75</v>
      </c>
      <c r="O408" s="13">
        <f t="shared" si="30"/>
        <v>68.75</v>
      </c>
      <c r="P408" s="13">
        <f>_xlfn.XLOOKUP(Orders[[#This Row],[Product ID]],products!$A$1:$A$49,products!$G$1:$G$49,,0)</f>
        <v>1.5125</v>
      </c>
      <c r="Q408" s="13">
        <f t="shared" si="31"/>
        <v>7.5625</v>
      </c>
      <c r="R408" t="str">
        <f t="shared" si="33"/>
        <v>Execelsa</v>
      </c>
      <c r="S408" t="str">
        <f t="shared" si="34"/>
        <v>Medium</v>
      </c>
      <c r="T408" t="str">
        <f>_xlfn.XLOOKUP(Orders[[#This Row],[Customer ID]],customers!$A$1:$A$1001,customers!$I$1:$I$1001,,0)</f>
        <v>Yes</v>
      </c>
    </row>
    <row r="409" spans="1:20" x14ac:dyDescent="0.35">
      <c r="A409" s="2" t="s">
        <v>2787</v>
      </c>
      <c r="B409" s="3">
        <v>44595</v>
      </c>
      <c r="C409" s="2" t="s">
        <v>2788</v>
      </c>
      <c r="D409" t="s">
        <v>6139</v>
      </c>
      <c r="E409" t="str">
        <f t="shared" si="32"/>
        <v>Excelsa-Medium-0.5</v>
      </c>
      <c r="F409" s="2">
        <v>6</v>
      </c>
      <c r="G409" s="2" t="str" cm="1">
        <f t="array" ref="G409">_xlfn.XLOOKUP(C409, customers!$A$1:A1408,customers!$B$1:B1408,,0)</f>
        <v>Lorin Guerrazzi</v>
      </c>
      <c r="H409" s="2" t="str" cm="1">
        <f t="array" ref="H409">IF(_xlfn.XLOOKUP(C409,customers!$A$1:A1408,customers!$C$1:C1408,,0) = 0,"", _xlfn.XLOOKUP(C409,customers!$A$1:A1408,customers!$C$1:C1408,,0))</f>
        <v/>
      </c>
      <c r="I409" s="2" t="str">
        <f>_xlfn.XLOOKUP(C409,customers!$A$1:$A$1001,customers!$G$1:$G$1001,,0)</f>
        <v>Ireland</v>
      </c>
      <c r="J409" s="2" t="str">
        <f>_xlfn.XLOOKUP(Orders[[#This Row],[Customer ID]],customers!$A$1:$A$1001,customers!$F$1:$F$1001,,0)</f>
        <v>Balrothery</v>
      </c>
      <c r="K409" t="str">
        <f>INDEX(products!$A$1:$G$49,MATCH(orders!$D409,products!$A$1:$A$49,0),MATCH(orders!K$1,products!$A$1:$G$1,0))</f>
        <v>Exc</v>
      </c>
      <c r="L409" t="str">
        <f>INDEX(products!$A$1:$G$49,MATCH(orders!$D409,products!$A$1:$A$49,0),MATCH(orders!L$1,products!$A$1:$G$1,0))</f>
        <v>M</v>
      </c>
      <c r="M409" s="14">
        <f>INDEX(products!$A$1:$G$49,MATCH(orders!$D409,products!$A$1:$A$49,0),MATCH(orders!M$1,products!$A$1:$G$1,0))</f>
        <v>0.5</v>
      </c>
      <c r="N409" s="4">
        <f>INDEX(products!$A$1:$G$49,MATCH(orders!$D409,products!$A$1:$A$49,0),MATCH(orders!N$1,products!$A$1:$G$1,0))</f>
        <v>8.25</v>
      </c>
      <c r="O409" s="13">
        <f t="shared" si="30"/>
        <v>49.5</v>
      </c>
      <c r="P409" s="13">
        <f>_xlfn.XLOOKUP(Orders[[#This Row],[Product ID]],products!$A$1:$A$49,products!$G$1:$G$49,,0)</f>
        <v>0.90749999999999997</v>
      </c>
      <c r="Q409" s="13">
        <f t="shared" si="31"/>
        <v>5.4450000000000003</v>
      </c>
      <c r="R409" t="str">
        <f t="shared" si="33"/>
        <v>Execelsa</v>
      </c>
      <c r="S409" t="str">
        <f t="shared" si="34"/>
        <v>Medium</v>
      </c>
      <c r="T409" t="str">
        <f>_xlfn.XLOOKUP(Orders[[#This Row],[Customer ID]],customers!$A$1:$A$1001,customers!$I$1:$I$1001,,0)</f>
        <v>No</v>
      </c>
    </row>
    <row r="410" spans="1:20" x14ac:dyDescent="0.35">
      <c r="A410" s="2" t="s">
        <v>2792</v>
      </c>
      <c r="B410" s="3">
        <v>44659</v>
      </c>
      <c r="C410" s="2" t="s">
        <v>2793</v>
      </c>
      <c r="D410" t="s">
        <v>6175</v>
      </c>
      <c r="E410" t="str">
        <f t="shared" si="32"/>
        <v>Arabica-Medium-2.5</v>
      </c>
      <c r="F410" s="2">
        <v>2</v>
      </c>
      <c r="G410" s="2" t="str" cm="1">
        <f t="array" ref="G410">_xlfn.XLOOKUP(C410, customers!$A$1:A1409,customers!$B$1:B1409,,0)</f>
        <v>Felice Miell</v>
      </c>
      <c r="H410" s="2" t="str" cm="1">
        <f t="array" ref="H410">IF(_xlfn.XLOOKUP(C410,customers!$A$1:A1409,customers!$C$1:C1409,,0) = 0,"", _xlfn.XLOOKUP(C410,customers!$A$1:A1409,customers!$C$1:C1409,,0))</f>
        <v>fmiellbc@spiegel.de</v>
      </c>
      <c r="I410" s="2" t="str">
        <f>_xlfn.XLOOKUP(C410,customers!$A$1:$A$1001,customers!$G$1:$G$1001,,0)</f>
        <v>United States</v>
      </c>
      <c r="J410" s="2" t="str">
        <f>_xlfn.XLOOKUP(Orders[[#This Row],[Customer ID]],customers!$A$1:$A$1001,customers!$F$1:$F$1001,,0)</f>
        <v>New Brunswick</v>
      </c>
      <c r="K410" t="str">
        <f>INDEX(products!$A$1:$G$49,MATCH(orders!$D410,products!$A$1:$A$49,0),MATCH(orders!K$1,products!$A$1:$G$1,0))</f>
        <v>Ara</v>
      </c>
      <c r="L410" t="str">
        <f>INDEX(products!$A$1:$G$49,MATCH(orders!$D410,products!$A$1:$A$49,0),MATCH(orders!L$1,products!$A$1:$G$1,0))</f>
        <v>M</v>
      </c>
      <c r="M410" s="14">
        <f>INDEX(products!$A$1:$G$49,MATCH(orders!$D410,products!$A$1:$A$49,0),MATCH(orders!M$1,products!$A$1:$G$1,0))</f>
        <v>2.5</v>
      </c>
      <c r="N410" s="4">
        <f>INDEX(products!$A$1:$G$49,MATCH(orders!$D410,products!$A$1:$A$49,0),MATCH(orders!N$1,products!$A$1:$G$1,0))</f>
        <v>25.874999999999996</v>
      </c>
      <c r="O410" s="13">
        <f t="shared" si="30"/>
        <v>51.749999999999993</v>
      </c>
      <c r="P410" s="13">
        <f>_xlfn.XLOOKUP(Orders[[#This Row],[Product ID]],products!$A$1:$A$49,products!$G$1:$G$49,,0)</f>
        <v>2.3287499999999994</v>
      </c>
      <c r="Q410" s="13">
        <f t="shared" si="31"/>
        <v>4.6574999999999989</v>
      </c>
      <c r="R410" t="str">
        <f t="shared" si="33"/>
        <v>Arabica</v>
      </c>
      <c r="S410" t="str">
        <f t="shared" si="34"/>
        <v>Medium</v>
      </c>
      <c r="T410" t="str">
        <f>_xlfn.XLOOKUP(Orders[[#This Row],[Customer ID]],customers!$A$1:$A$1001,customers!$I$1:$I$1001,,0)</f>
        <v>Yes</v>
      </c>
    </row>
    <row r="411" spans="1:20" x14ac:dyDescent="0.35">
      <c r="A411" s="2" t="s">
        <v>2798</v>
      </c>
      <c r="B411" s="3">
        <v>44203</v>
      </c>
      <c r="C411" s="2" t="s">
        <v>2799</v>
      </c>
      <c r="D411" t="s">
        <v>6170</v>
      </c>
      <c r="E411" t="str">
        <f t="shared" si="32"/>
        <v>Liberica-Light-1</v>
      </c>
      <c r="F411" s="2">
        <v>3</v>
      </c>
      <c r="G411" s="2" t="str" cm="1">
        <f t="array" ref="G411">_xlfn.XLOOKUP(C411, customers!$A$1:A1410,customers!$B$1:B1410,,0)</f>
        <v>Hamish Skeech</v>
      </c>
      <c r="H411" s="2" t="str" cm="1">
        <f t="array" ref="H411">IF(_xlfn.XLOOKUP(C411,customers!$A$1:A1410,customers!$C$1:C1410,,0) = 0,"", _xlfn.XLOOKUP(C411,customers!$A$1:A1410,customers!$C$1:C1410,,0))</f>
        <v/>
      </c>
      <c r="I411" s="2" t="str">
        <f>_xlfn.XLOOKUP(C411,customers!$A$1:$A$1001,customers!$G$1:$G$1001,,0)</f>
        <v>Ireland</v>
      </c>
      <c r="J411" s="2" t="str">
        <f>_xlfn.XLOOKUP(Orders[[#This Row],[Customer ID]],customers!$A$1:$A$1001,customers!$F$1:$F$1001,,0)</f>
        <v>Valleymount</v>
      </c>
      <c r="K411" t="str">
        <f>INDEX(products!$A$1:$G$49,MATCH(orders!$D411,products!$A$1:$A$49,0),MATCH(orders!K$1,products!$A$1:$G$1,0))</f>
        <v>Lib</v>
      </c>
      <c r="L411" t="str">
        <f>INDEX(products!$A$1:$G$49,MATCH(orders!$D411,products!$A$1:$A$49,0),MATCH(orders!L$1,products!$A$1:$G$1,0))</f>
        <v>L</v>
      </c>
      <c r="M411" s="14">
        <f>INDEX(products!$A$1:$G$49,MATCH(orders!$D411,products!$A$1:$A$49,0),MATCH(orders!M$1,products!$A$1:$G$1,0))</f>
        <v>1</v>
      </c>
      <c r="N411" s="4">
        <f>INDEX(products!$A$1:$G$49,MATCH(orders!$D411,products!$A$1:$A$49,0),MATCH(orders!N$1,products!$A$1:$G$1,0))</f>
        <v>15.85</v>
      </c>
      <c r="O411" s="13">
        <f t="shared" si="30"/>
        <v>47.55</v>
      </c>
      <c r="P411" s="13">
        <f>_xlfn.XLOOKUP(Orders[[#This Row],[Product ID]],products!$A$1:$A$49,products!$G$1:$G$49,,0)</f>
        <v>2.0605000000000002</v>
      </c>
      <c r="Q411" s="13">
        <f t="shared" si="31"/>
        <v>6.1815000000000007</v>
      </c>
      <c r="R411" t="str">
        <f t="shared" si="33"/>
        <v>Liberica</v>
      </c>
      <c r="S411" t="str">
        <f t="shared" si="34"/>
        <v>Light</v>
      </c>
      <c r="T411" t="str">
        <f>_xlfn.XLOOKUP(Orders[[#This Row],[Customer ID]],customers!$A$1:$A$1001,customers!$I$1:$I$1001,,0)</f>
        <v>Yes</v>
      </c>
    </row>
    <row r="412" spans="1:20" x14ac:dyDescent="0.35">
      <c r="A412" s="2" t="s">
        <v>2803</v>
      </c>
      <c r="B412" s="3">
        <v>44441</v>
      </c>
      <c r="C412" s="2" t="s">
        <v>2804</v>
      </c>
      <c r="D412" t="s">
        <v>6167</v>
      </c>
      <c r="E412" t="str">
        <f t="shared" si="32"/>
        <v>Arabica-Light-0.2</v>
      </c>
      <c r="F412" s="2">
        <v>4</v>
      </c>
      <c r="G412" s="2" t="str" cm="1">
        <f t="array" ref="G412">_xlfn.XLOOKUP(C412, customers!$A$1:A1411,customers!$B$1:B1411,,0)</f>
        <v>Giordano Lorenzin</v>
      </c>
      <c r="H412" s="2" t="str" cm="1">
        <f t="array" ref="H412">IF(_xlfn.XLOOKUP(C412,customers!$A$1:A1411,customers!$C$1:C1411,,0) = 0,"", _xlfn.XLOOKUP(C412,customers!$A$1:A1411,customers!$C$1:C1411,,0))</f>
        <v/>
      </c>
      <c r="I412" s="2" t="str">
        <f>_xlfn.XLOOKUP(C412,customers!$A$1:$A$1001,customers!$G$1:$G$1001,,0)</f>
        <v>United States</v>
      </c>
      <c r="J412" s="2" t="str">
        <f>_xlfn.XLOOKUP(Orders[[#This Row],[Customer ID]],customers!$A$1:$A$1001,customers!$F$1:$F$1001,,0)</f>
        <v>San Francisco</v>
      </c>
      <c r="K412" t="str">
        <f>INDEX(products!$A$1:$G$49,MATCH(orders!$D412,products!$A$1:$A$49,0),MATCH(orders!K$1,products!$A$1:$G$1,0))</f>
        <v>Ara</v>
      </c>
      <c r="L412" t="str">
        <f>INDEX(products!$A$1:$G$49,MATCH(orders!$D412,products!$A$1:$A$49,0),MATCH(orders!L$1,products!$A$1:$G$1,0))</f>
        <v>L</v>
      </c>
      <c r="M412" s="14">
        <f>INDEX(products!$A$1:$G$49,MATCH(orders!$D412,products!$A$1:$A$49,0),MATCH(orders!M$1,products!$A$1:$G$1,0))</f>
        <v>0.2</v>
      </c>
      <c r="N412" s="4">
        <f>INDEX(products!$A$1:$G$49,MATCH(orders!$D412,products!$A$1:$A$49,0),MATCH(orders!N$1,products!$A$1:$G$1,0))</f>
        <v>3.8849999999999998</v>
      </c>
      <c r="O412" s="13">
        <f t="shared" si="30"/>
        <v>15.54</v>
      </c>
      <c r="P412" s="13">
        <f>_xlfn.XLOOKUP(Orders[[#This Row],[Product ID]],products!$A$1:$A$49,products!$G$1:$G$49,,0)</f>
        <v>0.34964999999999996</v>
      </c>
      <c r="Q412" s="13">
        <f t="shared" si="31"/>
        <v>1.3985999999999998</v>
      </c>
      <c r="R412" t="str">
        <f t="shared" si="33"/>
        <v>Arabica</v>
      </c>
      <c r="S412" t="str">
        <f t="shared" si="34"/>
        <v>Light</v>
      </c>
      <c r="T412" t="str">
        <f>_xlfn.XLOOKUP(Orders[[#This Row],[Customer ID]],customers!$A$1:$A$1001,customers!$I$1:$I$1001,,0)</f>
        <v>No</v>
      </c>
    </row>
    <row r="413" spans="1:20" x14ac:dyDescent="0.35">
      <c r="A413" s="2" t="s">
        <v>2808</v>
      </c>
      <c r="B413" s="3">
        <v>44504</v>
      </c>
      <c r="C413" s="2" t="s">
        <v>2809</v>
      </c>
      <c r="D413" t="s">
        <v>6162</v>
      </c>
      <c r="E413" t="str">
        <f t="shared" si="32"/>
        <v>Liberica-Medium-1</v>
      </c>
      <c r="F413" s="2">
        <v>6</v>
      </c>
      <c r="G413" s="2" t="str" cm="1">
        <f t="array" ref="G413">_xlfn.XLOOKUP(C413, customers!$A$1:A1412,customers!$B$1:B1412,,0)</f>
        <v>Harwilll Bishell</v>
      </c>
      <c r="H413" s="2" t="str" cm="1">
        <f t="array" ref="H413">IF(_xlfn.XLOOKUP(C413,customers!$A$1:A1412,customers!$C$1:C1412,,0) = 0,"", _xlfn.XLOOKUP(C413,customers!$A$1:A1412,customers!$C$1:C1412,,0))</f>
        <v/>
      </c>
      <c r="I413" s="2" t="str">
        <f>_xlfn.XLOOKUP(C413,customers!$A$1:$A$1001,customers!$G$1:$G$1001,,0)</f>
        <v>United States</v>
      </c>
      <c r="J413" s="2" t="str">
        <f>_xlfn.XLOOKUP(Orders[[#This Row],[Customer ID]],customers!$A$1:$A$1001,customers!$F$1:$F$1001,,0)</f>
        <v>Lafayette</v>
      </c>
      <c r="K413" t="str">
        <f>INDEX(products!$A$1:$G$49,MATCH(orders!$D413,products!$A$1:$A$49,0),MATCH(orders!K$1,products!$A$1:$G$1,0))</f>
        <v>Lib</v>
      </c>
      <c r="L413" t="str">
        <f>INDEX(products!$A$1:$G$49,MATCH(orders!$D413,products!$A$1:$A$49,0),MATCH(orders!L$1,products!$A$1:$G$1,0))</f>
        <v>M</v>
      </c>
      <c r="M413" s="14">
        <f>INDEX(products!$A$1:$G$49,MATCH(orders!$D413,products!$A$1:$A$49,0),MATCH(orders!M$1,products!$A$1:$G$1,0))</f>
        <v>1</v>
      </c>
      <c r="N413" s="4">
        <f>INDEX(products!$A$1:$G$49,MATCH(orders!$D413,products!$A$1:$A$49,0),MATCH(orders!N$1,products!$A$1:$G$1,0))</f>
        <v>14.55</v>
      </c>
      <c r="O413" s="13">
        <f t="shared" si="30"/>
        <v>87.300000000000011</v>
      </c>
      <c r="P413" s="13">
        <f>_xlfn.XLOOKUP(Orders[[#This Row],[Product ID]],products!$A$1:$A$49,products!$G$1:$G$49,,0)</f>
        <v>1.8915000000000002</v>
      </c>
      <c r="Q413" s="13">
        <f t="shared" si="31"/>
        <v>11.349</v>
      </c>
      <c r="R413" t="str">
        <f t="shared" si="33"/>
        <v>Liberica</v>
      </c>
      <c r="S413" t="str">
        <f t="shared" si="34"/>
        <v>Medium</v>
      </c>
      <c r="T413" t="str">
        <f>_xlfn.XLOOKUP(Orders[[#This Row],[Customer ID]],customers!$A$1:$A$1001,customers!$I$1:$I$1001,,0)</f>
        <v>Yes</v>
      </c>
    </row>
    <row r="414" spans="1:20" x14ac:dyDescent="0.35">
      <c r="A414" s="2" t="s">
        <v>2813</v>
      </c>
      <c r="B414" s="3">
        <v>44410</v>
      </c>
      <c r="C414" s="2" t="s">
        <v>2814</v>
      </c>
      <c r="D414" t="s">
        <v>6155</v>
      </c>
      <c r="E414" t="str">
        <f t="shared" si="32"/>
        <v>Arabica-Medium-1</v>
      </c>
      <c r="F414" s="2">
        <v>5</v>
      </c>
      <c r="G414" s="2" t="str" cm="1">
        <f t="array" ref="G414">_xlfn.XLOOKUP(C414, customers!$A$1:A1413,customers!$B$1:B1413,,0)</f>
        <v>Freeland Missenden</v>
      </c>
      <c r="H414" s="2" t="str" cm="1">
        <f t="array" ref="H414">IF(_xlfn.XLOOKUP(C414,customers!$A$1:A1413,customers!$C$1:C1413,,0) = 0,"", _xlfn.XLOOKUP(C414,customers!$A$1:A1413,customers!$C$1:C1413,,0))</f>
        <v/>
      </c>
      <c r="I414" s="2" t="str">
        <f>_xlfn.XLOOKUP(C414,customers!$A$1:$A$1001,customers!$G$1:$G$1001,,0)</f>
        <v>United States</v>
      </c>
      <c r="J414" s="2" t="str">
        <f>_xlfn.XLOOKUP(Orders[[#This Row],[Customer ID]],customers!$A$1:$A$1001,customers!$F$1:$F$1001,,0)</f>
        <v>San Diego</v>
      </c>
      <c r="K414" t="str">
        <f>INDEX(products!$A$1:$G$49,MATCH(orders!$D414,products!$A$1:$A$49,0),MATCH(orders!K$1,products!$A$1:$G$1,0))</f>
        <v>Ara</v>
      </c>
      <c r="L414" t="str">
        <f>INDEX(products!$A$1:$G$49,MATCH(orders!$D414,products!$A$1:$A$49,0),MATCH(orders!L$1,products!$A$1:$G$1,0))</f>
        <v>M</v>
      </c>
      <c r="M414" s="14">
        <f>INDEX(products!$A$1:$G$49,MATCH(orders!$D414,products!$A$1:$A$49,0),MATCH(orders!M$1,products!$A$1:$G$1,0))</f>
        <v>1</v>
      </c>
      <c r="N414" s="4">
        <f>INDEX(products!$A$1:$G$49,MATCH(orders!$D414,products!$A$1:$A$49,0),MATCH(orders!N$1,products!$A$1:$G$1,0))</f>
        <v>11.25</v>
      </c>
      <c r="O414" s="13">
        <f t="shared" si="30"/>
        <v>56.25</v>
      </c>
      <c r="P414" s="13">
        <f>_xlfn.XLOOKUP(Orders[[#This Row],[Product ID]],products!$A$1:$A$49,products!$G$1:$G$49,,0)</f>
        <v>1.0125</v>
      </c>
      <c r="Q414" s="13">
        <f t="shared" si="31"/>
        <v>5.0625</v>
      </c>
      <c r="R414" t="str">
        <f t="shared" si="33"/>
        <v>Arabica</v>
      </c>
      <c r="S414" t="str">
        <f t="shared" si="34"/>
        <v>Medium</v>
      </c>
      <c r="T414" t="str">
        <f>_xlfn.XLOOKUP(Orders[[#This Row],[Customer ID]],customers!$A$1:$A$1001,customers!$I$1:$I$1001,,0)</f>
        <v>Yes</v>
      </c>
    </row>
    <row r="415" spans="1:20" x14ac:dyDescent="0.35">
      <c r="A415" s="2" t="s">
        <v>2818</v>
      </c>
      <c r="B415" s="3">
        <v>43857</v>
      </c>
      <c r="C415" s="2" t="s">
        <v>2819</v>
      </c>
      <c r="D415" t="s">
        <v>6164</v>
      </c>
      <c r="E415" t="str">
        <f t="shared" si="32"/>
        <v>Liberica-Light-2.5</v>
      </c>
      <c r="F415" s="2">
        <v>1</v>
      </c>
      <c r="G415" s="2" t="str" cm="1">
        <f t="array" ref="G415">_xlfn.XLOOKUP(C415, customers!$A$1:A1414,customers!$B$1:B1414,,0)</f>
        <v>Waylan Springall</v>
      </c>
      <c r="H415" s="2" t="str" cm="1">
        <f t="array" ref="H415">IF(_xlfn.XLOOKUP(C415,customers!$A$1:A1414,customers!$C$1:C1414,,0) = 0,"", _xlfn.XLOOKUP(C415,customers!$A$1:A1414,customers!$C$1:C1414,,0))</f>
        <v>wspringallbh@jugem.jp</v>
      </c>
      <c r="I415" s="2" t="str">
        <f>_xlfn.XLOOKUP(C415,customers!$A$1:$A$1001,customers!$G$1:$G$1001,,0)</f>
        <v>United States</v>
      </c>
      <c r="J415" s="2" t="str">
        <f>_xlfn.XLOOKUP(Orders[[#This Row],[Customer ID]],customers!$A$1:$A$1001,customers!$F$1:$F$1001,,0)</f>
        <v>Alhambra</v>
      </c>
      <c r="K415" t="str">
        <f>INDEX(products!$A$1:$G$49,MATCH(orders!$D415,products!$A$1:$A$49,0),MATCH(orders!K$1,products!$A$1:$G$1,0))</f>
        <v>Lib</v>
      </c>
      <c r="L415" t="str">
        <f>INDEX(products!$A$1:$G$49,MATCH(orders!$D415,products!$A$1:$A$49,0),MATCH(orders!L$1,products!$A$1:$G$1,0))</f>
        <v>L</v>
      </c>
      <c r="M415" s="14">
        <f>INDEX(products!$A$1:$G$49,MATCH(orders!$D415,products!$A$1:$A$49,0),MATCH(orders!M$1,products!$A$1:$G$1,0))</f>
        <v>2.5</v>
      </c>
      <c r="N415" s="4">
        <f>INDEX(products!$A$1:$G$49,MATCH(orders!$D415,products!$A$1:$A$49,0),MATCH(orders!N$1,products!$A$1:$G$1,0))</f>
        <v>36.454999999999998</v>
      </c>
      <c r="O415" s="13">
        <f t="shared" si="30"/>
        <v>36.454999999999998</v>
      </c>
      <c r="P415" s="13">
        <f>_xlfn.XLOOKUP(Orders[[#This Row],[Product ID]],products!$A$1:$A$49,products!$G$1:$G$49,,0)</f>
        <v>4.7391499999999995</v>
      </c>
      <c r="Q415" s="13">
        <f t="shared" si="31"/>
        <v>4.7391499999999995</v>
      </c>
      <c r="R415" t="str">
        <f t="shared" si="33"/>
        <v>Liberica</v>
      </c>
      <c r="S415" t="str">
        <f t="shared" si="34"/>
        <v>Light</v>
      </c>
      <c r="T415" t="str">
        <f>_xlfn.XLOOKUP(Orders[[#This Row],[Customer ID]],customers!$A$1:$A$1001,customers!$I$1:$I$1001,,0)</f>
        <v>Yes</v>
      </c>
    </row>
    <row r="416" spans="1:20" x14ac:dyDescent="0.35">
      <c r="A416" s="2" t="s">
        <v>2824</v>
      </c>
      <c r="B416" s="3">
        <v>43802</v>
      </c>
      <c r="C416" s="2" t="s">
        <v>2825</v>
      </c>
      <c r="D416" t="s">
        <v>6178</v>
      </c>
      <c r="E416" t="str">
        <f t="shared" si="32"/>
        <v>Robusta-Light-0.2</v>
      </c>
      <c r="F416" s="2">
        <v>3</v>
      </c>
      <c r="G416" s="2" t="str" cm="1">
        <f t="array" ref="G416">_xlfn.XLOOKUP(C416, customers!$A$1:A1415,customers!$B$1:B1415,,0)</f>
        <v>Kiri Avramow</v>
      </c>
      <c r="H416" s="2" t="str" cm="1">
        <f t="array" ref="H416">IF(_xlfn.XLOOKUP(C416,customers!$A$1:A1415,customers!$C$1:C1415,,0) = 0,"", _xlfn.XLOOKUP(C416,customers!$A$1:A1415,customers!$C$1:C1415,,0))</f>
        <v/>
      </c>
      <c r="I416" s="2" t="str">
        <f>_xlfn.XLOOKUP(C416,customers!$A$1:$A$1001,customers!$G$1:$G$1001,,0)</f>
        <v>United States</v>
      </c>
      <c r="J416" s="2" t="str">
        <f>_xlfn.XLOOKUP(Orders[[#This Row],[Customer ID]],customers!$A$1:$A$1001,customers!$F$1:$F$1001,,0)</f>
        <v>Tyler</v>
      </c>
      <c r="K416" t="str">
        <f>INDEX(products!$A$1:$G$49,MATCH(orders!$D416,products!$A$1:$A$49,0),MATCH(orders!K$1,products!$A$1:$G$1,0))</f>
        <v>Rob</v>
      </c>
      <c r="L416" t="str">
        <f>INDEX(products!$A$1:$G$49,MATCH(orders!$D416,products!$A$1:$A$49,0),MATCH(orders!L$1,products!$A$1:$G$1,0))</f>
        <v>L</v>
      </c>
      <c r="M416" s="14">
        <f>INDEX(products!$A$1:$G$49,MATCH(orders!$D416,products!$A$1:$A$49,0),MATCH(orders!M$1,products!$A$1:$G$1,0))</f>
        <v>0.2</v>
      </c>
      <c r="N416" s="4">
        <f>INDEX(products!$A$1:$G$49,MATCH(orders!$D416,products!$A$1:$A$49,0),MATCH(orders!N$1,products!$A$1:$G$1,0))</f>
        <v>3.5849999999999995</v>
      </c>
      <c r="O416" s="13">
        <f t="shared" si="30"/>
        <v>10.754999999999999</v>
      </c>
      <c r="P416" s="13">
        <f>_xlfn.XLOOKUP(Orders[[#This Row],[Product ID]],products!$A$1:$A$49,products!$G$1:$G$49,,0)</f>
        <v>0.21509999999999996</v>
      </c>
      <c r="Q416" s="13">
        <f t="shared" si="31"/>
        <v>0.64529999999999987</v>
      </c>
      <c r="R416" t="str">
        <f t="shared" si="33"/>
        <v>Robusta</v>
      </c>
      <c r="S416" t="str">
        <f t="shared" si="34"/>
        <v>Light</v>
      </c>
      <c r="T416" t="str">
        <f>_xlfn.XLOOKUP(Orders[[#This Row],[Customer ID]],customers!$A$1:$A$1001,customers!$I$1:$I$1001,,0)</f>
        <v>Yes</v>
      </c>
    </row>
    <row r="417" spans="1:20" x14ac:dyDescent="0.35">
      <c r="A417" s="2" t="s">
        <v>2829</v>
      </c>
      <c r="B417" s="3">
        <v>43683</v>
      </c>
      <c r="C417" s="2" t="s">
        <v>2830</v>
      </c>
      <c r="D417" t="s">
        <v>6174</v>
      </c>
      <c r="E417" t="str">
        <f t="shared" si="32"/>
        <v>Robusta-Medium-0.2</v>
      </c>
      <c r="F417" s="2">
        <v>3</v>
      </c>
      <c r="G417" s="2" t="str" cm="1">
        <f t="array" ref="G417">_xlfn.XLOOKUP(C417, customers!$A$1:A1416,customers!$B$1:B1416,,0)</f>
        <v>Gregg Hawkyens</v>
      </c>
      <c r="H417" s="2" t="str" cm="1">
        <f t="array" ref="H417">IF(_xlfn.XLOOKUP(C417,customers!$A$1:A1416,customers!$C$1:C1416,,0) = 0,"", _xlfn.XLOOKUP(C417,customers!$A$1:A1416,customers!$C$1:C1416,,0))</f>
        <v>ghawkyensbj@census.gov</v>
      </c>
      <c r="I417" s="2" t="str">
        <f>_xlfn.XLOOKUP(C417,customers!$A$1:$A$1001,customers!$G$1:$G$1001,,0)</f>
        <v>United States</v>
      </c>
      <c r="J417" s="2" t="str">
        <f>_xlfn.XLOOKUP(Orders[[#This Row],[Customer ID]],customers!$A$1:$A$1001,customers!$F$1:$F$1001,,0)</f>
        <v>Lafayette</v>
      </c>
      <c r="K417" t="str">
        <f>INDEX(products!$A$1:$G$49,MATCH(orders!$D417,products!$A$1:$A$49,0),MATCH(orders!K$1,products!$A$1:$G$1,0))</f>
        <v>Rob</v>
      </c>
      <c r="L417" t="str">
        <f>INDEX(products!$A$1:$G$49,MATCH(orders!$D417,products!$A$1:$A$49,0),MATCH(orders!L$1,products!$A$1:$G$1,0))</f>
        <v>M</v>
      </c>
      <c r="M417" s="14">
        <f>INDEX(products!$A$1:$G$49,MATCH(orders!$D417,products!$A$1:$A$49,0),MATCH(orders!M$1,products!$A$1:$G$1,0))</f>
        <v>0.2</v>
      </c>
      <c r="N417" s="4">
        <f>INDEX(products!$A$1:$G$49,MATCH(orders!$D417,products!$A$1:$A$49,0),MATCH(orders!N$1,products!$A$1:$G$1,0))</f>
        <v>2.9849999999999999</v>
      </c>
      <c r="O417" s="13">
        <f t="shared" si="30"/>
        <v>8.9550000000000001</v>
      </c>
      <c r="P417" s="13">
        <f>_xlfn.XLOOKUP(Orders[[#This Row],[Product ID]],products!$A$1:$A$49,products!$G$1:$G$49,,0)</f>
        <v>0.17909999999999998</v>
      </c>
      <c r="Q417" s="13">
        <f t="shared" si="31"/>
        <v>0.53729999999999989</v>
      </c>
      <c r="R417" t="str">
        <f t="shared" si="33"/>
        <v>Robusta</v>
      </c>
      <c r="S417" t="str">
        <f t="shared" si="34"/>
        <v>Medium</v>
      </c>
      <c r="T417" t="str">
        <f>_xlfn.XLOOKUP(Orders[[#This Row],[Customer ID]],customers!$A$1:$A$1001,customers!$I$1:$I$1001,,0)</f>
        <v>No</v>
      </c>
    </row>
    <row r="418" spans="1:20" x14ac:dyDescent="0.35">
      <c r="A418" s="2" t="s">
        <v>2834</v>
      </c>
      <c r="B418" s="3">
        <v>43901</v>
      </c>
      <c r="C418" s="2" t="s">
        <v>2835</v>
      </c>
      <c r="D418" t="s">
        <v>6180</v>
      </c>
      <c r="E418" t="str">
        <f t="shared" si="32"/>
        <v>Arabica-Light-0.5</v>
      </c>
      <c r="F418" s="2">
        <v>3</v>
      </c>
      <c r="G418" s="2" t="str" cm="1">
        <f t="array" ref="G418">_xlfn.XLOOKUP(C418, customers!$A$1:A1417,customers!$B$1:B1417,,0)</f>
        <v>Reggis Pracy</v>
      </c>
      <c r="H418" s="2" t="str" cm="1">
        <f t="array" ref="H418">IF(_xlfn.XLOOKUP(C418,customers!$A$1:A1417,customers!$C$1:C1417,,0) = 0,"", _xlfn.XLOOKUP(C418,customers!$A$1:A1417,customers!$C$1:C1417,,0))</f>
        <v/>
      </c>
      <c r="I418" s="2" t="str">
        <f>_xlfn.XLOOKUP(C418,customers!$A$1:$A$1001,customers!$G$1:$G$1001,,0)</f>
        <v>United States</v>
      </c>
      <c r="J418" s="2" t="str">
        <f>_xlfn.XLOOKUP(Orders[[#This Row],[Customer ID]],customers!$A$1:$A$1001,customers!$F$1:$F$1001,,0)</f>
        <v>Dayton</v>
      </c>
      <c r="K418" t="str">
        <f>INDEX(products!$A$1:$G$49,MATCH(orders!$D418,products!$A$1:$A$49,0),MATCH(orders!K$1,products!$A$1:$G$1,0))</f>
        <v>Ara</v>
      </c>
      <c r="L418" t="str">
        <f>INDEX(products!$A$1:$G$49,MATCH(orders!$D418,products!$A$1:$A$49,0),MATCH(orders!L$1,products!$A$1:$G$1,0))</f>
        <v>L</v>
      </c>
      <c r="M418" s="14">
        <f>INDEX(products!$A$1:$G$49,MATCH(orders!$D418,products!$A$1:$A$49,0),MATCH(orders!M$1,products!$A$1:$G$1,0))</f>
        <v>0.5</v>
      </c>
      <c r="N418" s="4">
        <f>INDEX(products!$A$1:$G$49,MATCH(orders!$D418,products!$A$1:$A$49,0),MATCH(orders!N$1,products!$A$1:$G$1,0))</f>
        <v>7.77</v>
      </c>
      <c r="O418" s="13">
        <f t="shared" si="30"/>
        <v>23.31</v>
      </c>
      <c r="P418" s="13">
        <f>_xlfn.XLOOKUP(Orders[[#This Row],[Product ID]],products!$A$1:$A$49,products!$G$1:$G$49,,0)</f>
        <v>0.69929999999999992</v>
      </c>
      <c r="Q418" s="13">
        <f t="shared" si="31"/>
        <v>2.0978999999999997</v>
      </c>
      <c r="R418" t="str">
        <f t="shared" si="33"/>
        <v>Arabica</v>
      </c>
      <c r="S418" t="str">
        <f t="shared" si="34"/>
        <v>Light</v>
      </c>
      <c r="T418" t="str">
        <f>_xlfn.XLOOKUP(Orders[[#This Row],[Customer ID]],customers!$A$1:$A$1001,customers!$I$1:$I$1001,,0)</f>
        <v>Yes</v>
      </c>
    </row>
    <row r="419" spans="1:20" x14ac:dyDescent="0.35">
      <c r="A419" s="2" t="s">
        <v>2839</v>
      </c>
      <c r="B419" s="3">
        <v>44457</v>
      </c>
      <c r="C419" s="2" t="s">
        <v>2840</v>
      </c>
      <c r="D419" t="s">
        <v>6182</v>
      </c>
      <c r="E419" t="str">
        <f t="shared" si="32"/>
        <v>Arabica-Light-2.5</v>
      </c>
      <c r="F419" s="2">
        <v>1</v>
      </c>
      <c r="G419" s="2" t="str" cm="1">
        <f t="array" ref="G419">_xlfn.XLOOKUP(C419, customers!$A$1:A1418,customers!$B$1:B1418,,0)</f>
        <v>Paula Denis</v>
      </c>
      <c r="H419" s="2" t="str" cm="1">
        <f t="array" ref="H419">IF(_xlfn.XLOOKUP(C419,customers!$A$1:A1418,customers!$C$1:C1418,,0) = 0,"", _xlfn.XLOOKUP(C419,customers!$A$1:A1418,customers!$C$1:C1418,,0))</f>
        <v/>
      </c>
      <c r="I419" s="2" t="str">
        <f>_xlfn.XLOOKUP(C419,customers!$A$1:$A$1001,customers!$G$1:$G$1001,,0)</f>
        <v>United States</v>
      </c>
      <c r="J419" s="2" t="str">
        <f>_xlfn.XLOOKUP(Orders[[#This Row],[Customer ID]],customers!$A$1:$A$1001,customers!$F$1:$F$1001,,0)</f>
        <v>Phoenix</v>
      </c>
      <c r="K419" t="str">
        <f>INDEX(products!$A$1:$G$49,MATCH(orders!$D419,products!$A$1:$A$49,0),MATCH(orders!K$1,products!$A$1:$G$1,0))</f>
        <v>Ara</v>
      </c>
      <c r="L419" t="str">
        <f>INDEX(products!$A$1:$G$49,MATCH(orders!$D419,products!$A$1:$A$49,0),MATCH(orders!L$1,products!$A$1:$G$1,0))</f>
        <v>L</v>
      </c>
      <c r="M419" s="14">
        <f>INDEX(products!$A$1:$G$49,MATCH(orders!$D419,products!$A$1:$A$49,0),MATCH(orders!M$1,products!$A$1:$G$1,0))</f>
        <v>2.5</v>
      </c>
      <c r="N419" s="4">
        <f>INDEX(products!$A$1:$G$49,MATCH(orders!$D419,products!$A$1:$A$49,0),MATCH(orders!N$1,products!$A$1:$G$1,0))</f>
        <v>29.784999999999997</v>
      </c>
      <c r="O419" s="13">
        <f t="shared" si="30"/>
        <v>29.784999999999997</v>
      </c>
      <c r="P419" s="13">
        <f>_xlfn.XLOOKUP(Orders[[#This Row],[Product ID]],products!$A$1:$A$49,products!$G$1:$G$49,,0)</f>
        <v>2.6806499999999995</v>
      </c>
      <c r="Q419" s="13">
        <f t="shared" si="31"/>
        <v>2.6806499999999995</v>
      </c>
      <c r="R419" t="str">
        <f t="shared" si="33"/>
        <v>Arabica</v>
      </c>
      <c r="S419" t="str">
        <f t="shared" si="34"/>
        <v>Light</v>
      </c>
      <c r="T419" t="str">
        <f>_xlfn.XLOOKUP(Orders[[#This Row],[Customer ID]],customers!$A$1:$A$1001,customers!$I$1:$I$1001,,0)</f>
        <v>Yes</v>
      </c>
    </row>
    <row r="420" spans="1:20" x14ac:dyDescent="0.35">
      <c r="A420" s="2" t="s">
        <v>2844</v>
      </c>
      <c r="B420" s="3">
        <v>44142</v>
      </c>
      <c r="C420" s="2" t="s">
        <v>2845</v>
      </c>
      <c r="D420" t="s">
        <v>6182</v>
      </c>
      <c r="E420" t="str">
        <f t="shared" si="32"/>
        <v>Arabica-Light-2.5</v>
      </c>
      <c r="F420" s="2">
        <v>5</v>
      </c>
      <c r="G420" s="2" t="str" cm="1">
        <f t="array" ref="G420">_xlfn.XLOOKUP(C420, customers!$A$1:A1419,customers!$B$1:B1419,,0)</f>
        <v>Broderick McGilvra</v>
      </c>
      <c r="H420" s="2" t="str" cm="1">
        <f t="array" ref="H420">IF(_xlfn.XLOOKUP(C420,customers!$A$1:A1419,customers!$C$1:C1419,,0) = 0,"", _xlfn.XLOOKUP(C420,customers!$A$1:A1419,customers!$C$1:C1419,,0))</f>
        <v>bmcgilvrabm@so-net.ne.jp</v>
      </c>
      <c r="I420" s="2" t="str">
        <f>_xlfn.XLOOKUP(C420,customers!$A$1:$A$1001,customers!$G$1:$G$1001,,0)</f>
        <v>United States</v>
      </c>
      <c r="J420" s="2" t="str">
        <f>_xlfn.XLOOKUP(Orders[[#This Row],[Customer ID]],customers!$A$1:$A$1001,customers!$F$1:$F$1001,,0)</f>
        <v>Sacramento</v>
      </c>
      <c r="K420" t="str">
        <f>INDEX(products!$A$1:$G$49,MATCH(orders!$D420,products!$A$1:$A$49,0),MATCH(orders!K$1,products!$A$1:$G$1,0))</f>
        <v>Ara</v>
      </c>
      <c r="L420" t="str">
        <f>INDEX(products!$A$1:$G$49,MATCH(orders!$D420,products!$A$1:$A$49,0),MATCH(orders!L$1,products!$A$1:$G$1,0))</f>
        <v>L</v>
      </c>
      <c r="M420" s="14">
        <f>INDEX(products!$A$1:$G$49,MATCH(orders!$D420,products!$A$1:$A$49,0),MATCH(orders!M$1,products!$A$1:$G$1,0))</f>
        <v>2.5</v>
      </c>
      <c r="N420" s="4">
        <f>INDEX(products!$A$1:$G$49,MATCH(orders!$D420,products!$A$1:$A$49,0),MATCH(orders!N$1,products!$A$1:$G$1,0))</f>
        <v>29.784999999999997</v>
      </c>
      <c r="O420" s="13">
        <f t="shared" si="30"/>
        <v>148.92499999999998</v>
      </c>
      <c r="P420" s="13">
        <f>_xlfn.XLOOKUP(Orders[[#This Row],[Product ID]],products!$A$1:$A$49,products!$G$1:$G$49,,0)</f>
        <v>2.6806499999999995</v>
      </c>
      <c r="Q420" s="13">
        <f t="shared" si="31"/>
        <v>13.403249999999998</v>
      </c>
      <c r="R420" t="str">
        <f t="shared" si="33"/>
        <v>Arabica</v>
      </c>
      <c r="S420" t="str">
        <f t="shared" si="34"/>
        <v>Light</v>
      </c>
      <c r="T420" t="str">
        <f>_xlfn.XLOOKUP(Orders[[#This Row],[Customer ID]],customers!$A$1:$A$1001,customers!$I$1:$I$1001,,0)</f>
        <v>Yes</v>
      </c>
    </row>
    <row r="421" spans="1:20" x14ac:dyDescent="0.35">
      <c r="A421" s="2" t="s">
        <v>2849</v>
      </c>
      <c r="B421" s="3">
        <v>44739</v>
      </c>
      <c r="C421" s="2" t="s">
        <v>2850</v>
      </c>
      <c r="D421" t="s">
        <v>6160</v>
      </c>
      <c r="E421" t="str">
        <f t="shared" si="32"/>
        <v>Liberica-Medium-0.5</v>
      </c>
      <c r="F421" s="2">
        <v>1</v>
      </c>
      <c r="G421" s="2" t="str" cm="1">
        <f t="array" ref="G421">_xlfn.XLOOKUP(C421, customers!$A$1:A1420,customers!$B$1:B1420,,0)</f>
        <v>Annabella Danzey</v>
      </c>
      <c r="H421" s="2" t="str" cm="1">
        <f t="array" ref="H421">IF(_xlfn.XLOOKUP(C421,customers!$A$1:A1420,customers!$C$1:C1420,,0) = 0,"", _xlfn.XLOOKUP(C421,customers!$A$1:A1420,customers!$C$1:C1420,,0))</f>
        <v>adanzeybn@github.com</v>
      </c>
      <c r="I421" s="2" t="str">
        <f>_xlfn.XLOOKUP(C421,customers!$A$1:$A$1001,customers!$G$1:$G$1001,,0)</f>
        <v>United States</v>
      </c>
      <c r="J421" s="2" t="str">
        <f>_xlfn.XLOOKUP(Orders[[#This Row],[Customer ID]],customers!$A$1:$A$1001,customers!$F$1:$F$1001,,0)</f>
        <v>Lincoln</v>
      </c>
      <c r="K421" t="str">
        <f>INDEX(products!$A$1:$G$49,MATCH(orders!$D421,products!$A$1:$A$49,0),MATCH(orders!K$1,products!$A$1:$G$1,0))</f>
        <v>Lib</v>
      </c>
      <c r="L421" t="str">
        <f>INDEX(products!$A$1:$G$49,MATCH(orders!$D421,products!$A$1:$A$49,0),MATCH(orders!L$1,products!$A$1:$G$1,0))</f>
        <v>M</v>
      </c>
      <c r="M421" s="14">
        <f>INDEX(products!$A$1:$G$49,MATCH(orders!$D421,products!$A$1:$A$49,0),MATCH(orders!M$1,products!$A$1:$G$1,0))</f>
        <v>0.5</v>
      </c>
      <c r="N421" s="4">
        <f>INDEX(products!$A$1:$G$49,MATCH(orders!$D421,products!$A$1:$A$49,0),MATCH(orders!N$1,products!$A$1:$G$1,0))</f>
        <v>8.73</v>
      </c>
      <c r="O421" s="13">
        <f t="shared" si="30"/>
        <v>8.73</v>
      </c>
      <c r="P421" s="13">
        <f>_xlfn.XLOOKUP(Orders[[#This Row],[Product ID]],products!$A$1:$A$49,products!$G$1:$G$49,,0)</f>
        <v>1.1349</v>
      </c>
      <c r="Q421" s="13">
        <f t="shared" si="31"/>
        <v>1.1349</v>
      </c>
      <c r="R421" t="str">
        <f t="shared" si="33"/>
        <v>Liberica</v>
      </c>
      <c r="S421" t="str">
        <f t="shared" si="34"/>
        <v>Medium</v>
      </c>
      <c r="T421" t="str">
        <f>_xlfn.XLOOKUP(Orders[[#This Row],[Customer ID]],customers!$A$1:$A$1001,customers!$I$1:$I$1001,,0)</f>
        <v>Yes</v>
      </c>
    </row>
    <row r="422" spans="1:20" x14ac:dyDescent="0.35">
      <c r="A422" s="2" t="s">
        <v>2855</v>
      </c>
      <c r="B422" s="3">
        <v>43866</v>
      </c>
      <c r="C422" s="2" t="s">
        <v>2586</v>
      </c>
      <c r="D422" t="s">
        <v>6169</v>
      </c>
      <c r="E422" t="str">
        <f t="shared" si="32"/>
        <v>Liberica-Dark-0.5</v>
      </c>
      <c r="F422" s="2">
        <v>4</v>
      </c>
      <c r="G422" s="2" t="str" cm="1">
        <f t="array" ref="G422">_xlfn.XLOOKUP(C422, customers!$A$1:A1421,customers!$B$1:B1421,,0)</f>
        <v>Terri Farra</v>
      </c>
      <c r="H422" s="2" t="str" cm="1">
        <f t="array" ref="H422">IF(_xlfn.XLOOKUP(C422,customers!$A$1:A1421,customers!$C$1:C1421,,0) = 0,"", _xlfn.XLOOKUP(C422,customers!$A$1:A1421,customers!$C$1:C1421,,0))</f>
        <v>tfarraac@behance.net</v>
      </c>
      <c r="I422" s="2" t="str">
        <f>_xlfn.XLOOKUP(C422,customers!$A$1:$A$1001,customers!$G$1:$G$1001,,0)</f>
        <v>United States</v>
      </c>
      <c r="J422" s="2" t="str">
        <f>_xlfn.XLOOKUP(Orders[[#This Row],[Customer ID]],customers!$A$1:$A$1001,customers!$F$1:$F$1001,,0)</f>
        <v>Odessa</v>
      </c>
      <c r="K422" t="str">
        <f>INDEX(products!$A$1:$G$49,MATCH(orders!$D422,products!$A$1:$A$49,0),MATCH(orders!K$1,products!$A$1:$G$1,0))</f>
        <v>Lib</v>
      </c>
      <c r="L422" t="str">
        <f>INDEX(products!$A$1:$G$49,MATCH(orders!$D422,products!$A$1:$A$49,0),MATCH(orders!L$1,products!$A$1:$G$1,0))</f>
        <v>D</v>
      </c>
      <c r="M422" s="14">
        <f>INDEX(products!$A$1:$G$49,MATCH(orders!$D422,products!$A$1:$A$49,0),MATCH(orders!M$1,products!$A$1:$G$1,0))</f>
        <v>0.5</v>
      </c>
      <c r="N422" s="4">
        <f>INDEX(products!$A$1:$G$49,MATCH(orders!$D422,products!$A$1:$A$49,0),MATCH(orders!N$1,products!$A$1:$G$1,0))</f>
        <v>7.77</v>
      </c>
      <c r="O422" s="13">
        <f t="shared" si="30"/>
        <v>31.08</v>
      </c>
      <c r="P422" s="13">
        <f>_xlfn.XLOOKUP(Orders[[#This Row],[Product ID]],products!$A$1:$A$49,products!$G$1:$G$49,,0)</f>
        <v>1.0101</v>
      </c>
      <c r="Q422" s="13">
        <f t="shared" si="31"/>
        <v>4.0404</v>
      </c>
      <c r="R422" t="str">
        <f t="shared" si="33"/>
        <v>Liberica</v>
      </c>
      <c r="S422" t="str">
        <f t="shared" si="34"/>
        <v>Dark</v>
      </c>
      <c r="T422" t="str">
        <f>_xlfn.XLOOKUP(Orders[[#This Row],[Customer ID]],customers!$A$1:$A$1001,customers!$I$1:$I$1001,,0)</f>
        <v>No</v>
      </c>
    </row>
    <row r="423" spans="1:20" x14ac:dyDescent="0.35">
      <c r="A423" s="2" t="s">
        <v>2855</v>
      </c>
      <c r="B423" s="3">
        <v>43866</v>
      </c>
      <c r="C423" s="2" t="s">
        <v>2586</v>
      </c>
      <c r="D423" t="s">
        <v>6168</v>
      </c>
      <c r="E423" t="str">
        <f t="shared" si="32"/>
        <v>Arabica-Dark-2.5</v>
      </c>
      <c r="F423" s="2">
        <v>6</v>
      </c>
      <c r="G423" s="2" t="str" cm="1">
        <f t="array" ref="G423">_xlfn.XLOOKUP(C423, customers!$A$1:A1422,customers!$B$1:B1422,,0)</f>
        <v>Terri Farra</v>
      </c>
      <c r="H423" s="2" t="str" cm="1">
        <f t="array" ref="H423">IF(_xlfn.XLOOKUP(C423,customers!$A$1:A1422,customers!$C$1:C1422,,0) = 0,"", _xlfn.XLOOKUP(C423,customers!$A$1:A1422,customers!$C$1:C1422,,0))</f>
        <v>tfarraac@behance.net</v>
      </c>
      <c r="I423" s="2" t="str">
        <f>_xlfn.XLOOKUP(C423,customers!$A$1:$A$1001,customers!$G$1:$G$1001,,0)</f>
        <v>United States</v>
      </c>
      <c r="J423" s="2" t="str">
        <f>_xlfn.XLOOKUP(Orders[[#This Row],[Customer ID]],customers!$A$1:$A$1001,customers!$F$1:$F$1001,,0)</f>
        <v>Odessa</v>
      </c>
      <c r="K423" t="str">
        <f>INDEX(products!$A$1:$G$49,MATCH(orders!$D423,products!$A$1:$A$49,0),MATCH(orders!K$1,products!$A$1:$G$1,0))</f>
        <v>Ara</v>
      </c>
      <c r="L423" t="str">
        <f>INDEX(products!$A$1:$G$49,MATCH(orders!$D423,products!$A$1:$A$49,0),MATCH(orders!L$1,products!$A$1:$G$1,0))</f>
        <v>D</v>
      </c>
      <c r="M423" s="14">
        <f>INDEX(products!$A$1:$G$49,MATCH(orders!$D423,products!$A$1:$A$49,0),MATCH(orders!M$1,products!$A$1:$G$1,0))</f>
        <v>2.5</v>
      </c>
      <c r="N423" s="4">
        <f>INDEX(products!$A$1:$G$49,MATCH(orders!$D423,products!$A$1:$A$49,0),MATCH(orders!N$1,products!$A$1:$G$1,0))</f>
        <v>22.884999999999998</v>
      </c>
      <c r="O423" s="13">
        <f t="shared" si="30"/>
        <v>137.31</v>
      </c>
      <c r="P423" s="13">
        <f>_xlfn.XLOOKUP(Orders[[#This Row],[Product ID]],products!$A$1:$A$49,products!$G$1:$G$49,,0)</f>
        <v>2.0596499999999995</v>
      </c>
      <c r="Q423" s="13">
        <f t="shared" si="31"/>
        <v>12.357899999999997</v>
      </c>
      <c r="R423" t="str">
        <f t="shared" si="33"/>
        <v>Arabica</v>
      </c>
      <c r="S423" t="str">
        <f t="shared" si="34"/>
        <v>Dark</v>
      </c>
      <c r="T423" t="str">
        <f>_xlfn.XLOOKUP(Orders[[#This Row],[Customer ID]],customers!$A$1:$A$1001,customers!$I$1:$I$1001,,0)</f>
        <v>No</v>
      </c>
    </row>
    <row r="424" spans="1:20" x14ac:dyDescent="0.35">
      <c r="A424" s="2" t="s">
        <v>2866</v>
      </c>
      <c r="B424" s="3">
        <v>43868</v>
      </c>
      <c r="C424" s="2" t="s">
        <v>2867</v>
      </c>
      <c r="D424" t="s">
        <v>6158</v>
      </c>
      <c r="E424" t="str">
        <f t="shared" si="32"/>
        <v>Arabica-Dark-0.5</v>
      </c>
      <c r="F424" s="2">
        <v>5</v>
      </c>
      <c r="G424" s="2" t="str" cm="1">
        <f t="array" ref="G424">_xlfn.XLOOKUP(C424, customers!$A$1:A1423,customers!$B$1:B1423,,0)</f>
        <v>Nevins Glowacz</v>
      </c>
      <c r="H424" s="2" t="str" cm="1">
        <f t="array" ref="H424">IF(_xlfn.XLOOKUP(C424,customers!$A$1:A1423,customers!$C$1:C1423,,0) = 0,"", _xlfn.XLOOKUP(C424,customers!$A$1:A1423,customers!$C$1:C1423,,0))</f>
        <v/>
      </c>
      <c r="I424" s="2" t="str">
        <f>_xlfn.XLOOKUP(C424,customers!$A$1:$A$1001,customers!$G$1:$G$1001,,0)</f>
        <v>United States</v>
      </c>
      <c r="J424" s="2" t="str">
        <f>_xlfn.XLOOKUP(Orders[[#This Row],[Customer ID]],customers!$A$1:$A$1001,customers!$F$1:$F$1001,,0)</f>
        <v>Madison</v>
      </c>
      <c r="K424" t="str">
        <f>INDEX(products!$A$1:$G$49,MATCH(orders!$D424,products!$A$1:$A$49,0),MATCH(orders!K$1,products!$A$1:$G$1,0))</f>
        <v>Ara</v>
      </c>
      <c r="L424" t="str">
        <f>INDEX(products!$A$1:$G$49,MATCH(orders!$D424,products!$A$1:$A$49,0),MATCH(orders!L$1,products!$A$1:$G$1,0))</f>
        <v>D</v>
      </c>
      <c r="M424" s="14">
        <f>INDEX(products!$A$1:$G$49,MATCH(orders!$D424,products!$A$1:$A$49,0),MATCH(orders!M$1,products!$A$1:$G$1,0))</f>
        <v>0.5</v>
      </c>
      <c r="N424" s="4">
        <f>INDEX(products!$A$1:$G$49,MATCH(orders!$D424,products!$A$1:$A$49,0),MATCH(orders!N$1,products!$A$1:$G$1,0))</f>
        <v>5.97</v>
      </c>
      <c r="O424" s="13">
        <f t="shared" si="30"/>
        <v>29.849999999999998</v>
      </c>
      <c r="P424" s="13">
        <f>_xlfn.XLOOKUP(Orders[[#This Row],[Product ID]],products!$A$1:$A$49,products!$G$1:$G$49,,0)</f>
        <v>0.5373</v>
      </c>
      <c r="Q424" s="13">
        <f t="shared" si="31"/>
        <v>2.6865000000000001</v>
      </c>
      <c r="R424" t="str">
        <f t="shared" si="33"/>
        <v>Arabica</v>
      </c>
      <c r="S424" t="str">
        <f t="shared" si="34"/>
        <v>Dark</v>
      </c>
      <c r="T424" t="str">
        <f>_xlfn.XLOOKUP(Orders[[#This Row],[Customer ID]],customers!$A$1:$A$1001,customers!$I$1:$I$1001,,0)</f>
        <v>No</v>
      </c>
    </row>
    <row r="425" spans="1:20" x14ac:dyDescent="0.35">
      <c r="A425" s="2" t="s">
        <v>2871</v>
      </c>
      <c r="B425" s="3">
        <v>44183</v>
      </c>
      <c r="C425" s="2" t="s">
        <v>2872</v>
      </c>
      <c r="D425" t="s">
        <v>6146</v>
      </c>
      <c r="E425" t="str">
        <f t="shared" si="32"/>
        <v>Robusta-Medium-0.5</v>
      </c>
      <c r="F425" s="2">
        <v>3</v>
      </c>
      <c r="G425" s="2" t="str" cm="1">
        <f t="array" ref="G425">_xlfn.XLOOKUP(C425, customers!$A$1:A1424,customers!$B$1:B1424,,0)</f>
        <v>Adelice Isabell</v>
      </c>
      <c r="H425" s="2" t="str" cm="1">
        <f t="array" ref="H425">IF(_xlfn.XLOOKUP(C425,customers!$A$1:A1424,customers!$C$1:C1424,,0) = 0,"", _xlfn.XLOOKUP(C425,customers!$A$1:A1424,customers!$C$1:C1424,,0))</f>
        <v/>
      </c>
      <c r="I425" s="2" t="str">
        <f>_xlfn.XLOOKUP(C425,customers!$A$1:$A$1001,customers!$G$1:$G$1001,,0)</f>
        <v>United States</v>
      </c>
      <c r="J425" s="2" t="str">
        <f>_xlfn.XLOOKUP(Orders[[#This Row],[Customer ID]],customers!$A$1:$A$1001,customers!$F$1:$F$1001,,0)</f>
        <v>Charleston</v>
      </c>
      <c r="K425" t="str">
        <f>INDEX(products!$A$1:$G$49,MATCH(orders!$D425,products!$A$1:$A$49,0),MATCH(orders!K$1,products!$A$1:$G$1,0))</f>
        <v>Rob</v>
      </c>
      <c r="L425" t="str">
        <f>INDEX(products!$A$1:$G$49,MATCH(orders!$D425,products!$A$1:$A$49,0),MATCH(orders!L$1,products!$A$1:$G$1,0))</f>
        <v>M</v>
      </c>
      <c r="M425" s="14">
        <f>INDEX(products!$A$1:$G$49,MATCH(orders!$D425,products!$A$1:$A$49,0),MATCH(orders!M$1,products!$A$1:$G$1,0))</f>
        <v>0.5</v>
      </c>
      <c r="N425" s="4">
        <f>INDEX(products!$A$1:$G$49,MATCH(orders!$D425,products!$A$1:$A$49,0),MATCH(orders!N$1,products!$A$1:$G$1,0))</f>
        <v>5.97</v>
      </c>
      <c r="O425" s="13">
        <f t="shared" si="30"/>
        <v>17.91</v>
      </c>
      <c r="P425" s="13">
        <f>_xlfn.XLOOKUP(Orders[[#This Row],[Product ID]],products!$A$1:$A$49,products!$G$1:$G$49,,0)</f>
        <v>0.35819999999999996</v>
      </c>
      <c r="Q425" s="13">
        <f t="shared" si="31"/>
        <v>1.0745999999999998</v>
      </c>
      <c r="R425" t="str">
        <f t="shared" si="33"/>
        <v>Robusta</v>
      </c>
      <c r="S425" t="str">
        <f t="shared" si="34"/>
        <v>Medium</v>
      </c>
      <c r="T425" t="str">
        <f>_xlfn.XLOOKUP(Orders[[#This Row],[Customer ID]],customers!$A$1:$A$1001,customers!$I$1:$I$1001,,0)</f>
        <v>No</v>
      </c>
    </row>
    <row r="426" spans="1:20" x14ac:dyDescent="0.35">
      <c r="A426" s="2" t="s">
        <v>2876</v>
      </c>
      <c r="B426" s="3">
        <v>44431</v>
      </c>
      <c r="C426" s="2" t="s">
        <v>2877</v>
      </c>
      <c r="D426" t="s">
        <v>6176</v>
      </c>
      <c r="E426" t="str">
        <f t="shared" si="32"/>
        <v>Excelsa-Light-0.5</v>
      </c>
      <c r="F426" s="2">
        <v>3</v>
      </c>
      <c r="G426" s="2" t="str" cm="1">
        <f t="array" ref="G426">_xlfn.XLOOKUP(C426, customers!$A$1:A1425,customers!$B$1:B1425,,0)</f>
        <v>Yulma Dombrell</v>
      </c>
      <c r="H426" s="2" t="str" cm="1">
        <f t="array" ref="H426">IF(_xlfn.XLOOKUP(C426,customers!$A$1:A1425,customers!$C$1:C1425,,0) = 0,"", _xlfn.XLOOKUP(C426,customers!$A$1:A1425,customers!$C$1:C1425,,0))</f>
        <v>ydombrellbs@dedecms.com</v>
      </c>
      <c r="I426" s="2" t="str">
        <f>_xlfn.XLOOKUP(C426,customers!$A$1:$A$1001,customers!$G$1:$G$1001,,0)</f>
        <v>United States</v>
      </c>
      <c r="J426" s="2" t="str">
        <f>_xlfn.XLOOKUP(Orders[[#This Row],[Customer ID]],customers!$A$1:$A$1001,customers!$F$1:$F$1001,,0)</f>
        <v>Little Rock</v>
      </c>
      <c r="K426" t="str">
        <f>INDEX(products!$A$1:$G$49,MATCH(orders!$D426,products!$A$1:$A$49,0),MATCH(orders!K$1,products!$A$1:$G$1,0))</f>
        <v>Exc</v>
      </c>
      <c r="L426" t="str">
        <f>INDEX(products!$A$1:$G$49,MATCH(orders!$D426,products!$A$1:$A$49,0),MATCH(orders!L$1,products!$A$1:$G$1,0))</f>
        <v>L</v>
      </c>
      <c r="M426" s="14">
        <f>INDEX(products!$A$1:$G$49,MATCH(orders!$D426,products!$A$1:$A$49,0),MATCH(orders!M$1,products!$A$1:$G$1,0))</f>
        <v>0.5</v>
      </c>
      <c r="N426" s="4">
        <f>INDEX(products!$A$1:$G$49,MATCH(orders!$D426,products!$A$1:$A$49,0),MATCH(orders!N$1,products!$A$1:$G$1,0))</f>
        <v>8.91</v>
      </c>
      <c r="O426" s="13">
        <f t="shared" si="30"/>
        <v>26.73</v>
      </c>
      <c r="P426" s="13">
        <f>_xlfn.XLOOKUP(Orders[[#This Row],[Product ID]],products!$A$1:$A$49,products!$G$1:$G$49,,0)</f>
        <v>0.98009999999999997</v>
      </c>
      <c r="Q426" s="13">
        <f t="shared" si="31"/>
        <v>2.9402999999999997</v>
      </c>
      <c r="R426" t="str">
        <f t="shared" si="33"/>
        <v>Execelsa</v>
      </c>
      <c r="S426" t="str">
        <f t="shared" si="34"/>
        <v>Light</v>
      </c>
      <c r="T426" t="str">
        <f>_xlfn.XLOOKUP(Orders[[#This Row],[Customer ID]],customers!$A$1:$A$1001,customers!$I$1:$I$1001,,0)</f>
        <v>Yes</v>
      </c>
    </row>
    <row r="427" spans="1:20" x14ac:dyDescent="0.35">
      <c r="A427" s="2" t="s">
        <v>2882</v>
      </c>
      <c r="B427" s="3">
        <v>44428</v>
      </c>
      <c r="C427" s="2" t="s">
        <v>2883</v>
      </c>
      <c r="D427" t="s">
        <v>6177</v>
      </c>
      <c r="E427" t="str">
        <f t="shared" si="32"/>
        <v>Robusta-Dark-1</v>
      </c>
      <c r="F427" s="2">
        <v>2</v>
      </c>
      <c r="G427" s="2" t="str" cm="1">
        <f t="array" ref="G427">_xlfn.XLOOKUP(C427, customers!$A$1:A1426,customers!$B$1:B1426,,0)</f>
        <v>Alric Darth</v>
      </c>
      <c r="H427" s="2" t="str" cm="1">
        <f t="array" ref="H427">IF(_xlfn.XLOOKUP(C427,customers!$A$1:A1426,customers!$C$1:C1426,,0) = 0,"", _xlfn.XLOOKUP(C427,customers!$A$1:A1426,customers!$C$1:C1426,,0))</f>
        <v>adarthbt@t.co</v>
      </c>
      <c r="I427" s="2" t="str">
        <f>_xlfn.XLOOKUP(C427,customers!$A$1:$A$1001,customers!$G$1:$G$1001,,0)</f>
        <v>United States</v>
      </c>
      <c r="J427" s="2" t="str">
        <f>_xlfn.XLOOKUP(Orders[[#This Row],[Customer ID]],customers!$A$1:$A$1001,customers!$F$1:$F$1001,,0)</f>
        <v>Anchorage</v>
      </c>
      <c r="K427" t="str">
        <f>INDEX(products!$A$1:$G$49,MATCH(orders!$D427,products!$A$1:$A$49,0),MATCH(orders!K$1,products!$A$1:$G$1,0))</f>
        <v>Rob</v>
      </c>
      <c r="L427" t="str">
        <f>INDEX(products!$A$1:$G$49,MATCH(orders!$D427,products!$A$1:$A$49,0),MATCH(orders!L$1,products!$A$1:$G$1,0))</f>
        <v>D</v>
      </c>
      <c r="M427" s="14">
        <f>INDEX(products!$A$1:$G$49,MATCH(orders!$D427,products!$A$1:$A$49,0),MATCH(orders!M$1,products!$A$1:$G$1,0))</f>
        <v>1</v>
      </c>
      <c r="N427" s="4">
        <f>INDEX(products!$A$1:$G$49,MATCH(orders!$D427,products!$A$1:$A$49,0),MATCH(orders!N$1,products!$A$1:$G$1,0))</f>
        <v>8.9499999999999993</v>
      </c>
      <c r="O427" s="13">
        <f t="shared" si="30"/>
        <v>17.899999999999999</v>
      </c>
      <c r="P427" s="13">
        <f>_xlfn.XLOOKUP(Orders[[#This Row],[Product ID]],products!$A$1:$A$49,products!$G$1:$G$49,,0)</f>
        <v>0.53699999999999992</v>
      </c>
      <c r="Q427" s="13">
        <f t="shared" si="31"/>
        <v>1.0739999999999998</v>
      </c>
      <c r="R427" t="str">
        <f t="shared" si="33"/>
        <v>Robusta</v>
      </c>
      <c r="S427" t="str">
        <f t="shared" si="34"/>
        <v>Dark</v>
      </c>
      <c r="T427" t="str">
        <f>_xlfn.XLOOKUP(Orders[[#This Row],[Customer ID]],customers!$A$1:$A$1001,customers!$I$1:$I$1001,,0)</f>
        <v>No</v>
      </c>
    </row>
    <row r="428" spans="1:20" x14ac:dyDescent="0.35">
      <c r="A428" s="2" t="s">
        <v>2888</v>
      </c>
      <c r="B428" s="3">
        <v>43556</v>
      </c>
      <c r="C428" s="2" t="s">
        <v>2889</v>
      </c>
      <c r="D428" t="s">
        <v>6178</v>
      </c>
      <c r="E428" t="str">
        <f t="shared" si="32"/>
        <v>Robusta-Light-0.2</v>
      </c>
      <c r="F428" s="2">
        <v>4</v>
      </c>
      <c r="G428" s="2" t="str" cm="1">
        <f t="array" ref="G428">_xlfn.XLOOKUP(C428, customers!$A$1:A1427,customers!$B$1:B1427,,0)</f>
        <v>Manuel Darrigoe</v>
      </c>
      <c r="H428" s="2" t="str" cm="1">
        <f t="array" ref="H428">IF(_xlfn.XLOOKUP(C428,customers!$A$1:A1427,customers!$C$1:C1427,,0) = 0,"", _xlfn.XLOOKUP(C428,customers!$A$1:A1427,customers!$C$1:C1427,,0))</f>
        <v>mdarrigoebu@hud.gov</v>
      </c>
      <c r="I428" s="2" t="str">
        <f>_xlfn.XLOOKUP(C428,customers!$A$1:$A$1001,customers!$G$1:$G$1001,,0)</f>
        <v>Ireland</v>
      </c>
      <c r="J428" s="2" t="str">
        <f>_xlfn.XLOOKUP(Orders[[#This Row],[Customer ID]],customers!$A$1:$A$1001,customers!$F$1:$F$1001,,0)</f>
        <v>Longwood</v>
      </c>
      <c r="K428" t="str">
        <f>INDEX(products!$A$1:$G$49,MATCH(orders!$D428,products!$A$1:$A$49,0),MATCH(orders!K$1,products!$A$1:$G$1,0))</f>
        <v>Rob</v>
      </c>
      <c r="L428" t="str">
        <f>INDEX(products!$A$1:$G$49,MATCH(orders!$D428,products!$A$1:$A$49,0),MATCH(orders!L$1,products!$A$1:$G$1,0))</f>
        <v>L</v>
      </c>
      <c r="M428" s="14">
        <f>INDEX(products!$A$1:$G$49,MATCH(orders!$D428,products!$A$1:$A$49,0),MATCH(orders!M$1,products!$A$1:$G$1,0))</f>
        <v>0.2</v>
      </c>
      <c r="N428" s="4">
        <f>INDEX(products!$A$1:$G$49,MATCH(orders!$D428,products!$A$1:$A$49,0),MATCH(orders!N$1,products!$A$1:$G$1,0))</f>
        <v>3.5849999999999995</v>
      </c>
      <c r="O428" s="13">
        <f t="shared" si="30"/>
        <v>14.339999999999998</v>
      </c>
      <c r="P428" s="13">
        <f>_xlfn.XLOOKUP(Orders[[#This Row],[Product ID]],products!$A$1:$A$49,products!$G$1:$G$49,,0)</f>
        <v>0.21509999999999996</v>
      </c>
      <c r="Q428" s="13">
        <f t="shared" si="31"/>
        <v>0.86039999999999983</v>
      </c>
      <c r="R428" t="str">
        <f t="shared" si="33"/>
        <v>Robusta</v>
      </c>
      <c r="S428" t="str">
        <f t="shared" si="34"/>
        <v>Light</v>
      </c>
      <c r="T428" t="str">
        <f>_xlfn.XLOOKUP(Orders[[#This Row],[Customer ID]],customers!$A$1:$A$1001,customers!$I$1:$I$1001,,0)</f>
        <v>Yes</v>
      </c>
    </row>
    <row r="429" spans="1:20" x14ac:dyDescent="0.35">
      <c r="A429" s="2" t="s">
        <v>2894</v>
      </c>
      <c r="B429" s="3">
        <v>44224</v>
      </c>
      <c r="C429" s="2" t="s">
        <v>2895</v>
      </c>
      <c r="D429" t="s">
        <v>6175</v>
      </c>
      <c r="E429" t="str">
        <f t="shared" si="32"/>
        <v>Arabica-Medium-2.5</v>
      </c>
      <c r="F429" s="2">
        <v>3</v>
      </c>
      <c r="G429" s="2" t="str" cm="1">
        <f t="array" ref="G429">_xlfn.XLOOKUP(C429, customers!$A$1:A1428,customers!$B$1:B1428,,0)</f>
        <v>Kynthia Berick</v>
      </c>
      <c r="H429" s="2" t="str" cm="1">
        <f t="array" ref="H429">IF(_xlfn.XLOOKUP(C429,customers!$A$1:A1428,customers!$C$1:C1428,,0) = 0,"", _xlfn.XLOOKUP(C429,customers!$A$1:A1428,customers!$C$1:C1428,,0))</f>
        <v/>
      </c>
      <c r="I429" s="2" t="str">
        <f>_xlfn.XLOOKUP(C429,customers!$A$1:$A$1001,customers!$G$1:$G$1001,,0)</f>
        <v>United States</v>
      </c>
      <c r="J429" s="2" t="str">
        <f>_xlfn.XLOOKUP(Orders[[#This Row],[Customer ID]],customers!$A$1:$A$1001,customers!$F$1:$F$1001,,0)</f>
        <v>San Francisco</v>
      </c>
      <c r="K429" t="str">
        <f>INDEX(products!$A$1:$G$49,MATCH(orders!$D429,products!$A$1:$A$49,0),MATCH(orders!K$1,products!$A$1:$G$1,0))</f>
        <v>Ara</v>
      </c>
      <c r="L429" t="str">
        <f>INDEX(products!$A$1:$G$49,MATCH(orders!$D429,products!$A$1:$A$49,0),MATCH(orders!L$1,products!$A$1:$G$1,0))</f>
        <v>M</v>
      </c>
      <c r="M429" s="14">
        <f>INDEX(products!$A$1:$G$49,MATCH(orders!$D429,products!$A$1:$A$49,0),MATCH(orders!M$1,products!$A$1:$G$1,0))</f>
        <v>2.5</v>
      </c>
      <c r="N429" s="4">
        <f>INDEX(products!$A$1:$G$49,MATCH(orders!$D429,products!$A$1:$A$49,0),MATCH(orders!N$1,products!$A$1:$G$1,0))</f>
        <v>25.874999999999996</v>
      </c>
      <c r="O429" s="13">
        <f t="shared" si="30"/>
        <v>77.624999999999986</v>
      </c>
      <c r="P429" s="13">
        <f>_xlfn.XLOOKUP(Orders[[#This Row],[Product ID]],products!$A$1:$A$49,products!$G$1:$G$49,,0)</f>
        <v>2.3287499999999994</v>
      </c>
      <c r="Q429" s="13">
        <f t="shared" si="31"/>
        <v>6.9862499999999983</v>
      </c>
      <c r="R429" t="str">
        <f t="shared" si="33"/>
        <v>Arabica</v>
      </c>
      <c r="S429" t="str">
        <f t="shared" si="34"/>
        <v>Medium</v>
      </c>
      <c r="T429" t="str">
        <f>_xlfn.XLOOKUP(Orders[[#This Row],[Customer ID]],customers!$A$1:$A$1001,customers!$I$1:$I$1001,,0)</f>
        <v>Yes</v>
      </c>
    </row>
    <row r="430" spans="1:20" x14ac:dyDescent="0.35">
      <c r="A430" s="2" t="s">
        <v>2899</v>
      </c>
      <c r="B430" s="3">
        <v>43759</v>
      </c>
      <c r="C430" s="2" t="s">
        <v>2900</v>
      </c>
      <c r="D430" t="s">
        <v>6179</v>
      </c>
      <c r="E430" t="str">
        <f t="shared" si="32"/>
        <v>Robusta-Light-1</v>
      </c>
      <c r="F430" s="2">
        <v>5</v>
      </c>
      <c r="G430" s="2" t="str" cm="1">
        <f t="array" ref="G430">_xlfn.XLOOKUP(C430, customers!$A$1:A1429,customers!$B$1:B1429,,0)</f>
        <v>Minetta Ackrill</v>
      </c>
      <c r="H430" s="2" t="str" cm="1">
        <f t="array" ref="H430">IF(_xlfn.XLOOKUP(C430,customers!$A$1:A1429,customers!$C$1:C1429,,0) = 0,"", _xlfn.XLOOKUP(C430,customers!$A$1:A1429,customers!$C$1:C1429,,0))</f>
        <v>mackrillbw@bandcamp.com</v>
      </c>
      <c r="I430" s="2" t="str">
        <f>_xlfn.XLOOKUP(C430,customers!$A$1:$A$1001,customers!$G$1:$G$1001,,0)</f>
        <v>United States</v>
      </c>
      <c r="J430" s="2" t="str">
        <f>_xlfn.XLOOKUP(Orders[[#This Row],[Customer ID]],customers!$A$1:$A$1001,customers!$F$1:$F$1001,,0)</f>
        <v>Warren</v>
      </c>
      <c r="K430" t="str">
        <f>INDEX(products!$A$1:$G$49,MATCH(orders!$D430,products!$A$1:$A$49,0),MATCH(orders!K$1,products!$A$1:$G$1,0))</f>
        <v>Rob</v>
      </c>
      <c r="L430" t="str">
        <f>INDEX(products!$A$1:$G$49,MATCH(orders!$D430,products!$A$1:$A$49,0),MATCH(orders!L$1,products!$A$1:$G$1,0))</f>
        <v>L</v>
      </c>
      <c r="M430" s="14">
        <f>INDEX(products!$A$1:$G$49,MATCH(orders!$D430,products!$A$1:$A$49,0),MATCH(orders!M$1,products!$A$1:$G$1,0))</f>
        <v>1</v>
      </c>
      <c r="N430" s="4">
        <f>INDEX(products!$A$1:$G$49,MATCH(orders!$D430,products!$A$1:$A$49,0),MATCH(orders!N$1,products!$A$1:$G$1,0))</f>
        <v>11.95</v>
      </c>
      <c r="O430" s="13">
        <f t="shared" si="30"/>
        <v>59.75</v>
      </c>
      <c r="P430" s="13">
        <f>_xlfn.XLOOKUP(Orders[[#This Row],[Product ID]],products!$A$1:$A$49,products!$G$1:$G$49,,0)</f>
        <v>0.71699999999999997</v>
      </c>
      <c r="Q430" s="13">
        <f t="shared" si="31"/>
        <v>3.585</v>
      </c>
      <c r="R430" t="str">
        <f t="shared" si="33"/>
        <v>Robusta</v>
      </c>
      <c r="S430" t="str">
        <f t="shared" si="34"/>
        <v>Light</v>
      </c>
      <c r="T430" t="str">
        <f>_xlfn.XLOOKUP(Orders[[#This Row],[Customer ID]],customers!$A$1:$A$1001,customers!$I$1:$I$1001,,0)</f>
        <v>No</v>
      </c>
    </row>
    <row r="431" spans="1:20" x14ac:dyDescent="0.35">
      <c r="A431" s="2" t="s">
        <v>2905</v>
      </c>
      <c r="B431" s="3">
        <v>44367</v>
      </c>
      <c r="C431" s="2" t="s">
        <v>2586</v>
      </c>
      <c r="D431" t="s">
        <v>6140</v>
      </c>
      <c r="E431" t="str">
        <f t="shared" si="32"/>
        <v>Arabica-Light-1</v>
      </c>
      <c r="F431" s="2">
        <v>6</v>
      </c>
      <c r="G431" s="2" t="str" cm="1">
        <f t="array" ref="G431">_xlfn.XLOOKUP(C431, customers!$A$1:A1430,customers!$B$1:B1430,,0)</f>
        <v>Terri Farra</v>
      </c>
      <c r="H431" s="2" t="str" cm="1">
        <f t="array" ref="H431">IF(_xlfn.XLOOKUP(C431,customers!$A$1:A1430,customers!$C$1:C1430,,0) = 0,"", _xlfn.XLOOKUP(C431,customers!$A$1:A1430,customers!$C$1:C1430,,0))</f>
        <v>tfarraac@behance.net</v>
      </c>
      <c r="I431" s="2" t="str">
        <f>_xlfn.XLOOKUP(C431,customers!$A$1:$A$1001,customers!$G$1:$G$1001,,0)</f>
        <v>United States</v>
      </c>
      <c r="J431" s="2" t="str">
        <f>_xlfn.XLOOKUP(Orders[[#This Row],[Customer ID]],customers!$A$1:$A$1001,customers!$F$1:$F$1001,,0)</f>
        <v>Odessa</v>
      </c>
      <c r="K431" t="str">
        <f>INDEX(products!$A$1:$G$49,MATCH(orders!$D431,products!$A$1:$A$49,0),MATCH(orders!K$1,products!$A$1:$G$1,0))</f>
        <v>Ara</v>
      </c>
      <c r="L431" t="str">
        <f>INDEX(products!$A$1:$G$49,MATCH(orders!$D431,products!$A$1:$A$49,0),MATCH(orders!L$1,products!$A$1:$G$1,0))</f>
        <v>L</v>
      </c>
      <c r="M431" s="14">
        <f>INDEX(products!$A$1:$G$49,MATCH(orders!$D431,products!$A$1:$A$49,0),MATCH(orders!M$1,products!$A$1:$G$1,0))</f>
        <v>1</v>
      </c>
      <c r="N431" s="4">
        <f>INDEX(products!$A$1:$G$49,MATCH(orders!$D431,products!$A$1:$A$49,0),MATCH(orders!N$1,products!$A$1:$G$1,0))</f>
        <v>12.95</v>
      </c>
      <c r="O431" s="13">
        <f t="shared" si="30"/>
        <v>77.699999999999989</v>
      </c>
      <c r="P431" s="13">
        <f>_xlfn.XLOOKUP(Orders[[#This Row],[Product ID]],products!$A$1:$A$49,products!$G$1:$G$49,,0)</f>
        <v>1.1655</v>
      </c>
      <c r="Q431" s="13">
        <f t="shared" si="31"/>
        <v>6.9930000000000003</v>
      </c>
      <c r="R431" t="str">
        <f t="shared" si="33"/>
        <v>Arabica</v>
      </c>
      <c r="S431" t="str">
        <f t="shared" si="34"/>
        <v>Light</v>
      </c>
      <c r="T431" t="str">
        <f>_xlfn.XLOOKUP(Orders[[#This Row],[Customer ID]],customers!$A$1:$A$1001,customers!$I$1:$I$1001,,0)</f>
        <v>No</v>
      </c>
    </row>
    <row r="432" spans="1:20" x14ac:dyDescent="0.35">
      <c r="A432" s="2" t="s">
        <v>2911</v>
      </c>
      <c r="B432" s="3">
        <v>44504</v>
      </c>
      <c r="C432" s="2" t="s">
        <v>2912</v>
      </c>
      <c r="D432" t="s">
        <v>6163</v>
      </c>
      <c r="E432" t="str">
        <f t="shared" si="32"/>
        <v>Robusta-Dark-0.2</v>
      </c>
      <c r="F432" s="2">
        <v>2</v>
      </c>
      <c r="G432" s="2" t="str" cm="1">
        <f t="array" ref="G432">_xlfn.XLOOKUP(C432, customers!$A$1:A1431,customers!$B$1:B1431,,0)</f>
        <v>Melosa Kippen</v>
      </c>
      <c r="H432" s="2" t="str" cm="1">
        <f t="array" ref="H432">IF(_xlfn.XLOOKUP(C432,customers!$A$1:A1431,customers!$C$1:C1431,,0) = 0,"", _xlfn.XLOOKUP(C432,customers!$A$1:A1431,customers!$C$1:C1431,,0))</f>
        <v>mkippenby@dion.ne.jp</v>
      </c>
      <c r="I432" s="2" t="str">
        <f>_xlfn.XLOOKUP(C432,customers!$A$1:$A$1001,customers!$G$1:$G$1001,,0)</f>
        <v>United States</v>
      </c>
      <c r="J432" s="2" t="str">
        <f>_xlfn.XLOOKUP(Orders[[#This Row],[Customer ID]],customers!$A$1:$A$1001,customers!$F$1:$F$1001,,0)</f>
        <v>Jackson</v>
      </c>
      <c r="K432" t="str">
        <f>INDEX(products!$A$1:$G$49,MATCH(orders!$D432,products!$A$1:$A$49,0),MATCH(orders!K$1,products!$A$1:$G$1,0))</f>
        <v>Rob</v>
      </c>
      <c r="L432" t="str">
        <f>INDEX(products!$A$1:$G$49,MATCH(orders!$D432,products!$A$1:$A$49,0),MATCH(orders!L$1,products!$A$1:$G$1,0))</f>
        <v>D</v>
      </c>
      <c r="M432" s="14">
        <f>INDEX(products!$A$1:$G$49,MATCH(orders!$D432,products!$A$1:$A$49,0),MATCH(orders!M$1,products!$A$1:$G$1,0))</f>
        <v>0.2</v>
      </c>
      <c r="N432" s="4">
        <f>INDEX(products!$A$1:$G$49,MATCH(orders!$D432,products!$A$1:$A$49,0),MATCH(orders!N$1,products!$A$1:$G$1,0))</f>
        <v>2.6849999999999996</v>
      </c>
      <c r="O432" s="13">
        <f t="shared" si="30"/>
        <v>5.3699999999999992</v>
      </c>
      <c r="P432" s="13">
        <f>_xlfn.XLOOKUP(Orders[[#This Row],[Product ID]],products!$A$1:$A$49,products!$G$1:$G$49,,0)</f>
        <v>0.16109999999999997</v>
      </c>
      <c r="Q432" s="13">
        <f t="shared" si="31"/>
        <v>0.32219999999999993</v>
      </c>
      <c r="R432" t="str">
        <f t="shared" si="33"/>
        <v>Robusta</v>
      </c>
      <c r="S432" t="str">
        <f t="shared" si="34"/>
        <v>Dark</v>
      </c>
      <c r="T432" t="str">
        <f>_xlfn.XLOOKUP(Orders[[#This Row],[Customer ID]],customers!$A$1:$A$1001,customers!$I$1:$I$1001,,0)</f>
        <v>Yes</v>
      </c>
    </row>
    <row r="433" spans="1:20" x14ac:dyDescent="0.35">
      <c r="A433" s="2" t="s">
        <v>2917</v>
      </c>
      <c r="B433" s="3">
        <v>44291</v>
      </c>
      <c r="C433" s="2" t="s">
        <v>2918</v>
      </c>
      <c r="D433" t="s">
        <v>6185</v>
      </c>
      <c r="E433" t="str">
        <f t="shared" si="32"/>
        <v>Excelsa-Dark-2.5</v>
      </c>
      <c r="F433" s="2">
        <v>3</v>
      </c>
      <c r="G433" s="2" t="str" cm="1">
        <f t="array" ref="G433">_xlfn.XLOOKUP(C433, customers!$A$1:A1432,customers!$B$1:B1432,,0)</f>
        <v>Witty Ranson</v>
      </c>
      <c r="H433" s="2" t="str" cm="1">
        <f t="array" ref="H433">IF(_xlfn.XLOOKUP(C433,customers!$A$1:A1432,customers!$C$1:C1432,,0) = 0,"", _xlfn.XLOOKUP(C433,customers!$A$1:A1432,customers!$C$1:C1432,,0))</f>
        <v>wransonbz@ted.com</v>
      </c>
      <c r="I433" s="2" t="str">
        <f>_xlfn.XLOOKUP(C433,customers!$A$1:$A$1001,customers!$G$1:$G$1001,,0)</f>
        <v>Ireland</v>
      </c>
      <c r="J433" s="2" t="str">
        <f>_xlfn.XLOOKUP(Orders[[#This Row],[Customer ID]],customers!$A$1:$A$1001,customers!$F$1:$F$1001,,0)</f>
        <v>Kildare</v>
      </c>
      <c r="K433" t="str">
        <f>INDEX(products!$A$1:$G$49,MATCH(orders!$D433,products!$A$1:$A$49,0),MATCH(orders!K$1,products!$A$1:$G$1,0))</f>
        <v>Exc</v>
      </c>
      <c r="L433" t="str">
        <f>INDEX(products!$A$1:$G$49,MATCH(orders!$D433,products!$A$1:$A$49,0),MATCH(orders!L$1,products!$A$1:$G$1,0))</f>
        <v>D</v>
      </c>
      <c r="M433" s="14">
        <f>INDEX(products!$A$1:$G$49,MATCH(orders!$D433,products!$A$1:$A$49,0),MATCH(orders!M$1,products!$A$1:$G$1,0))</f>
        <v>2.5</v>
      </c>
      <c r="N433" s="4">
        <f>INDEX(products!$A$1:$G$49,MATCH(orders!$D433,products!$A$1:$A$49,0),MATCH(orders!N$1,products!$A$1:$G$1,0))</f>
        <v>27.945</v>
      </c>
      <c r="O433" s="13">
        <f t="shared" si="30"/>
        <v>83.835000000000008</v>
      </c>
      <c r="P433" s="13">
        <f>_xlfn.XLOOKUP(Orders[[#This Row],[Product ID]],products!$A$1:$A$49,products!$G$1:$G$49,,0)</f>
        <v>3.07395</v>
      </c>
      <c r="Q433" s="13">
        <f t="shared" si="31"/>
        <v>9.2218499999999999</v>
      </c>
      <c r="R433" t="str">
        <f t="shared" si="33"/>
        <v>Execelsa</v>
      </c>
      <c r="S433" t="str">
        <f t="shared" si="34"/>
        <v>Dark</v>
      </c>
      <c r="T433" t="str">
        <f>_xlfn.XLOOKUP(Orders[[#This Row],[Customer ID]],customers!$A$1:$A$1001,customers!$I$1:$I$1001,,0)</f>
        <v>Yes</v>
      </c>
    </row>
    <row r="434" spans="1:20" x14ac:dyDescent="0.35">
      <c r="A434" s="2" t="s">
        <v>2923</v>
      </c>
      <c r="B434" s="3">
        <v>43808</v>
      </c>
      <c r="C434" s="2" t="s">
        <v>2924</v>
      </c>
      <c r="D434" t="s">
        <v>6155</v>
      </c>
      <c r="E434" t="str">
        <f t="shared" si="32"/>
        <v>Arabica-Medium-1</v>
      </c>
      <c r="F434" s="2">
        <v>2</v>
      </c>
      <c r="G434" s="2" t="str" cm="1">
        <f t="array" ref="G434">_xlfn.XLOOKUP(C434, customers!$A$1:A1433,customers!$B$1:B1433,,0)</f>
        <v>Rod Gowdie</v>
      </c>
      <c r="H434" s="2" t="str" cm="1">
        <f t="array" ref="H434">IF(_xlfn.XLOOKUP(C434,customers!$A$1:A1433,customers!$C$1:C1433,,0) = 0,"", _xlfn.XLOOKUP(C434,customers!$A$1:A1433,customers!$C$1:C1433,,0))</f>
        <v/>
      </c>
      <c r="I434" s="2" t="str">
        <f>_xlfn.XLOOKUP(C434,customers!$A$1:$A$1001,customers!$G$1:$G$1001,,0)</f>
        <v>United States</v>
      </c>
      <c r="J434" s="2" t="str">
        <f>_xlfn.XLOOKUP(Orders[[#This Row],[Customer ID]],customers!$A$1:$A$1001,customers!$F$1:$F$1001,,0)</f>
        <v>Milwaukee</v>
      </c>
      <c r="K434" t="str">
        <f>INDEX(products!$A$1:$G$49,MATCH(orders!$D434,products!$A$1:$A$49,0),MATCH(orders!K$1,products!$A$1:$G$1,0))</f>
        <v>Ara</v>
      </c>
      <c r="L434" t="str">
        <f>INDEX(products!$A$1:$G$49,MATCH(orders!$D434,products!$A$1:$A$49,0),MATCH(orders!L$1,products!$A$1:$G$1,0))</f>
        <v>M</v>
      </c>
      <c r="M434" s="14">
        <f>INDEX(products!$A$1:$G$49,MATCH(orders!$D434,products!$A$1:$A$49,0),MATCH(orders!M$1,products!$A$1:$G$1,0))</f>
        <v>1</v>
      </c>
      <c r="N434" s="4">
        <f>INDEX(products!$A$1:$G$49,MATCH(orders!$D434,products!$A$1:$A$49,0),MATCH(orders!N$1,products!$A$1:$G$1,0))</f>
        <v>11.25</v>
      </c>
      <c r="O434" s="13">
        <f t="shared" si="30"/>
        <v>22.5</v>
      </c>
      <c r="P434" s="13">
        <f>_xlfn.XLOOKUP(Orders[[#This Row],[Product ID]],products!$A$1:$A$49,products!$G$1:$G$49,,0)</f>
        <v>1.0125</v>
      </c>
      <c r="Q434" s="13">
        <f t="shared" si="31"/>
        <v>2.0249999999999999</v>
      </c>
      <c r="R434" t="str">
        <f t="shared" si="33"/>
        <v>Arabica</v>
      </c>
      <c r="S434" t="str">
        <f t="shared" si="34"/>
        <v>Medium</v>
      </c>
      <c r="T434" t="str">
        <f>_xlfn.XLOOKUP(Orders[[#This Row],[Customer ID]],customers!$A$1:$A$1001,customers!$I$1:$I$1001,,0)</f>
        <v>No</v>
      </c>
    </row>
    <row r="435" spans="1:20" x14ac:dyDescent="0.35">
      <c r="A435" s="2" t="s">
        <v>2928</v>
      </c>
      <c r="B435" s="3">
        <v>44563</v>
      </c>
      <c r="C435" s="2" t="s">
        <v>2929</v>
      </c>
      <c r="D435" t="s">
        <v>6181</v>
      </c>
      <c r="E435" t="str">
        <f t="shared" si="32"/>
        <v>Liberica-Medium-2.5</v>
      </c>
      <c r="F435" s="2">
        <v>6</v>
      </c>
      <c r="G435" s="2" t="str" cm="1">
        <f t="array" ref="G435">_xlfn.XLOOKUP(C435, customers!$A$1:A1434,customers!$B$1:B1434,,0)</f>
        <v>Lemuel Rignold</v>
      </c>
      <c r="H435" s="2" t="str" cm="1">
        <f t="array" ref="H435">IF(_xlfn.XLOOKUP(C435,customers!$A$1:A1434,customers!$C$1:C1434,,0) = 0,"", _xlfn.XLOOKUP(C435,customers!$A$1:A1434,customers!$C$1:C1434,,0))</f>
        <v>lrignoldc1@miibeian.gov.cn</v>
      </c>
      <c r="I435" s="2" t="str">
        <f>_xlfn.XLOOKUP(C435,customers!$A$1:$A$1001,customers!$G$1:$G$1001,,0)</f>
        <v>United States</v>
      </c>
      <c r="J435" s="2" t="str">
        <f>_xlfn.XLOOKUP(Orders[[#This Row],[Customer ID]],customers!$A$1:$A$1001,customers!$F$1:$F$1001,,0)</f>
        <v>Sacramento</v>
      </c>
      <c r="K435" t="str">
        <f>INDEX(products!$A$1:$G$49,MATCH(orders!$D435,products!$A$1:$A$49,0),MATCH(orders!K$1,products!$A$1:$G$1,0))</f>
        <v>Lib</v>
      </c>
      <c r="L435" t="str">
        <f>INDEX(products!$A$1:$G$49,MATCH(orders!$D435,products!$A$1:$A$49,0),MATCH(orders!L$1,products!$A$1:$G$1,0))</f>
        <v>M</v>
      </c>
      <c r="M435" s="14">
        <f>INDEX(products!$A$1:$G$49,MATCH(orders!$D435,products!$A$1:$A$49,0),MATCH(orders!M$1,products!$A$1:$G$1,0))</f>
        <v>2.5</v>
      </c>
      <c r="N435" s="4">
        <f>INDEX(products!$A$1:$G$49,MATCH(orders!$D435,products!$A$1:$A$49,0),MATCH(orders!N$1,products!$A$1:$G$1,0))</f>
        <v>33.464999999999996</v>
      </c>
      <c r="O435" s="13">
        <f t="shared" si="30"/>
        <v>200.78999999999996</v>
      </c>
      <c r="P435" s="13">
        <f>_xlfn.XLOOKUP(Orders[[#This Row],[Product ID]],products!$A$1:$A$49,products!$G$1:$G$49,,0)</f>
        <v>4.3504499999999995</v>
      </c>
      <c r="Q435" s="13">
        <f t="shared" si="31"/>
        <v>26.102699999999999</v>
      </c>
      <c r="R435" t="str">
        <f t="shared" si="33"/>
        <v>Liberica</v>
      </c>
      <c r="S435" t="str">
        <f t="shared" si="34"/>
        <v>Medium</v>
      </c>
      <c r="T435" t="str">
        <f>_xlfn.XLOOKUP(Orders[[#This Row],[Customer ID]],customers!$A$1:$A$1001,customers!$I$1:$I$1001,,0)</f>
        <v>Yes</v>
      </c>
    </row>
    <row r="436" spans="1:20" x14ac:dyDescent="0.35">
      <c r="A436" s="2" t="s">
        <v>2934</v>
      </c>
      <c r="B436" s="3">
        <v>43807</v>
      </c>
      <c r="C436" s="2" t="s">
        <v>2935</v>
      </c>
      <c r="D436" t="s">
        <v>6155</v>
      </c>
      <c r="E436" t="str">
        <f t="shared" si="32"/>
        <v>Arabica-Medium-1</v>
      </c>
      <c r="F436" s="2">
        <v>6</v>
      </c>
      <c r="G436" s="2" t="str" cm="1">
        <f t="array" ref="G436">_xlfn.XLOOKUP(C436, customers!$A$1:A1435,customers!$B$1:B1435,,0)</f>
        <v>Nevsa Fields</v>
      </c>
      <c r="H436" s="2" t="str" cm="1">
        <f t="array" ref="H436">IF(_xlfn.XLOOKUP(C436,customers!$A$1:A1435,customers!$C$1:C1435,,0) = 0,"", _xlfn.XLOOKUP(C436,customers!$A$1:A1435,customers!$C$1:C1435,,0))</f>
        <v/>
      </c>
      <c r="I436" s="2" t="str">
        <f>_xlfn.XLOOKUP(C436,customers!$A$1:$A$1001,customers!$G$1:$G$1001,,0)</f>
        <v>United States</v>
      </c>
      <c r="J436" s="2" t="str">
        <f>_xlfn.XLOOKUP(Orders[[#This Row],[Customer ID]],customers!$A$1:$A$1001,customers!$F$1:$F$1001,,0)</f>
        <v>Boston</v>
      </c>
      <c r="K436" t="str">
        <f>INDEX(products!$A$1:$G$49,MATCH(orders!$D436,products!$A$1:$A$49,0),MATCH(orders!K$1,products!$A$1:$G$1,0))</f>
        <v>Ara</v>
      </c>
      <c r="L436" t="str">
        <f>INDEX(products!$A$1:$G$49,MATCH(orders!$D436,products!$A$1:$A$49,0),MATCH(orders!L$1,products!$A$1:$G$1,0))</f>
        <v>M</v>
      </c>
      <c r="M436" s="14">
        <f>INDEX(products!$A$1:$G$49,MATCH(orders!$D436,products!$A$1:$A$49,0),MATCH(orders!M$1,products!$A$1:$G$1,0))</f>
        <v>1</v>
      </c>
      <c r="N436" s="4">
        <f>INDEX(products!$A$1:$G$49,MATCH(orders!$D436,products!$A$1:$A$49,0),MATCH(orders!N$1,products!$A$1:$G$1,0))</f>
        <v>11.25</v>
      </c>
      <c r="O436" s="13">
        <f t="shared" si="30"/>
        <v>67.5</v>
      </c>
      <c r="P436" s="13">
        <f>_xlfn.XLOOKUP(Orders[[#This Row],[Product ID]],products!$A$1:$A$49,products!$G$1:$G$49,,0)</f>
        <v>1.0125</v>
      </c>
      <c r="Q436" s="13">
        <f t="shared" si="31"/>
        <v>6.0749999999999993</v>
      </c>
      <c r="R436" t="str">
        <f t="shared" si="33"/>
        <v>Arabica</v>
      </c>
      <c r="S436" t="str">
        <f t="shared" si="34"/>
        <v>Medium</v>
      </c>
      <c r="T436" t="str">
        <f>_xlfn.XLOOKUP(Orders[[#This Row],[Customer ID]],customers!$A$1:$A$1001,customers!$I$1:$I$1001,,0)</f>
        <v>No</v>
      </c>
    </row>
    <row r="437" spans="1:20" x14ac:dyDescent="0.35">
      <c r="A437" s="2" t="s">
        <v>2939</v>
      </c>
      <c r="B437" s="3">
        <v>44528</v>
      </c>
      <c r="C437" s="2" t="s">
        <v>2940</v>
      </c>
      <c r="D437" t="s">
        <v>6139</v>
      </c>
      <c r="E437" t="str">
        <f t="shared" si="32"/>
        <v>Excelsa-Medium-0.5</v>
      </c>
      <c r="F437" s="2">
        <v>1</v>
      </c>
      <c r="G437" s="2" t="str" cm="1">
        <f t="array" ref="G437">_xlfn.XLOOKUP(C437, customers!$A$1:A1436,customers!$B$1:B1436,,0)</f>
        <v>Chance Rowthorn</v>
      </c>
      <c r="H437" s="2" t="str" cm="1">
        <f t="array" ref="H437">IF(_xlfn.XLOOKUP(C437,customers!$A$1:A1436,customers!$C$1:C1436,,0) = 0,"", _xlfn.XLOOKUP(C437,customers!$A$1:A1436,customers!$C$1:C1436,,0))</f>
        <v>crowthornc3@msn.com</v>
      </c>
      <c r="I437" s="2" t="str">
        <f>_xlfn.XLOOKUP(C437,customers!$A$1:$A$1001,customers!$G$1:$G$1001,,0)</f>
        <v>United States</v>
      </c>
      <c r="J437" s="2" t="str">
        <f>_xlfn.XLOOKUP(Orders[[#This Row],[Customer ID]],customers!$A$1:$A$1001,customers!$F$1:$F$1001,,0)</f>
        <v>Topeka</v>
      </c>
      <c r="K437" t="str">
        <f>INDEX(products!$A$1:$G$49,MATCH(orders!$D437,products!$A$1:$A$49,0),MATCH(orders!K$1,products!$A$1:$G$1,0))</f>
        <v>Exc</v>
      </c>
      <c r="L437" t="str">
        <f>INDEX(products!$A$1:$G$49,MATCH(orders!$D437,products!$A$1:$A$49,0),MATCH(orders!L$1,products!$A$1:$G$1,0))</f>
        <v>M</v>
      </c>
      <c r="M437" s="14">
        <f>INDEX(products!$A$1:$G$49,MATCH(orders!$D437,products!$A$1:$A$49,0),MATCH(orders!M$1,products!$A$1:$G$1,0))</f>
        <v>0.5</v>
      </c>
      <c r="N437" s="4">
        <f>INDEX(products!$A$1:$G$49,MATCH(orders!$D437,products!$A$1:$A$49,0),MATCH(orders!N$1,products!$A$1:$G$1,0))</f>
        <v>8.25</v>
      </c>
      <c r="O437" s="13">
        <f t="shared" si="30"/>
        <v>8.25</v>
      </c>
      <c r="P437" s="13">
        <f>_xlfn.XLOOKUP(Orders[[#This Row],[Product ID]],products!$A$1:$A$49,products!$G$1:$G$49,,0)</f>
        <v>0.90749999999999997</v>
      </c>
      <c r="Q437" s="13">
        <f t="shared" si="31"/>
        <v>0.90749999999999997</v>
      </c>
      <c r="R437" t="str">
        <f t="shared" si="33"/>
        <v>Execelsa</v>
      </c>
      <c r="S437" t="str">
        <f t="shared" si="34"/>
        <v>Medium</v>
      </c>
      <c r="T437" t="str">
        <f>_xlfn.XLOOKUP(Orders[[#This Row],[Customer ID]],customers!$A$1:$A$1001,customers!$I$1:$I$1001,,0)</f>
        <v>No</v>
      </c>
    </row>
    <row r="438" spans="1:20" x14ac:dyDescent="0.35">
      <c r="A438" s="2" t="s">
        <v>2945</v>
      </c>
      <c r="B438" s="3">
        <v>44631</v>
      </c>
      <c r="C438" s="2" t="s">
        <v>2946</v>
      </c>
      <c r="D438" t="s">
        <v>6145</v>
      </c>
      <c r="E438" t="str">
        <f t="shared" si="32"/>
        <v>Liberica-Light-0.2</v>
      </c>
      <c r="F438" s="2">
        <v>2</v>
      </c>
      <c r="G438" s="2" t="str" cm="1">
        <f t="array" ref="G438">_xlfn.XLOOKUP(C438, customers!$A$1:A1437,customers!$B$1:B1437,,0)</f>
        <v>Orly Ryland</v>
      </c>
      <c r="H438" s="2" t="str" cm="1">
        <f t="array" ref="H438">IF(_xlfn.XLOOKUP(C438,customers!$A$1:A1437,customers!$C$1:C1437,,0) = 0,"", _xlfn.XLOOKUP(C438,customers!$A$1:A1437,customers!$C$1:C1437,,0))</f>
        <v>orylandc4@deviantart.com</v>
      </c>
      <c r="I438" s="2" t="str">
        <f>_xlfn.XLOOKUP(C438,customers!$A$1:$A$1001,customers!$G$1:$G$1001,,0)</f>
        <v>United States</v>
      </c>
      <c r="J438" s="2" t="str">
        <f>_xlfn.XLOOKUP(Orders[[#This Row],[Customer ID]],customers!$A$1:$A$1001,customers!$F$1:$F$1001,,0)</f>
        <v>Fargo</v>
      </c>
      <c r="K438" t="str">
        <f>INDEX(products!$A$1:$G$49,MATCH(orders!$D438,products!$A$1:$A$49,0),MATCH(orders!K$1,products!$A$1:$G$1,0))</f>
        <v>Lib</v>
      </c>
      <c r="L438" t="str">
        <f>INDEX(products!$A$1:$G$49,MATCH(orders!$D438,products!$A$1:$A$49,0),MATCH(orders!L$1,products!$A$1:$G$1,0))</f>
        <v>L</v>
      </c>
      <c r="M438" s="14">
        <f>INDEX(products!$A$1:$G$49,MATCH(orders!$D438,products!$A$1:$A$49,0),MATCH(orders!M$1,products!$A$1:$G$1,0))</f>
        <v>0.2</v>
      </c>
      <c r="N438" s="4">
        <f>INDEX(products!$A$1:$G$49,MATCH(orders!$D438,products!$A$1:$A$49,0),MATCH(orders!N$1,products!$A$1:$G$1,0))</f>
        <v>4.7549999999999999</v>
      </c>
      <c r="O438" s="13">
        <f t="shared" si="30"/>
        <v>9.51</v>
      </c>
      <c r="P438" s="13">
        <f>_xlfn.XLOOKUP(Orders[[#This Row],[Product ID]],products!$A$1:$A$49,products!$G$1:$G$49,,0)</f>
        <v>0.61814999999999998</v>
      </c>
      <c r="Q438" s="13">
        <f t="shared" si="31"/>
        <v>1.2363</v>
      </c>
      <c r="R438" t="str">
        <f t="shared" si="33"/>
        <v>Liberica</v>
      </c>
      <c r="S438" t="str">
        <f t="shared" si="34"/>
        <v>Light</v>
      </c>
      <c r="T438" t="str">
        <f>_xlfn.XLOOKUP(Orders[[#This Row],[Customer ID]],customers!$A$1:$A$1001,customers!$I$1:$I$1001,,0)</f>
        <v>Yes</v>
      </c>
    </row>
    <row r="439" spans="1:20" x14ac:dyDescent="0.35">
      <c r="A439" s="2" t="s">
        <v>2951</v>
      </c>
      <c r="B439" s="3">
        <v>44213</v>
      </c>
      <c r="C439" s="2" t="s">
        <v>2952</v>
      </c>
      <c r="D439" t="s">
        <v>6165</v>
      </c>
      <c r="E439" t="str">
        <f t="shared" si="32"/>
        <v>Liberica-Dark-2.5</v>
      </c>
      <c r="F439" s="2">
        <v>1</v>
      </c>
      <c r="G439" s="2" t="str" cm="1">
        <f t="array" ref="G439">_xlfn.XLOOKUP(C439, customers!$A$1:A1438,customers!$B$1:B1438,,0)</f>
        <v>Willabella Abramski</v>
      </c>
      <c r="H439" s="2" t="str" cm="1">
        <f t="array" ref="H439">IF(_xlfn.XLOOKUP(C439,customers!$A$1:A1438,customers!$C$1:C1438,,0) = 0,"", _xlfn.XLOOKUP(C439,customers!$A$1:A1438,customers!$C$1:C1438,,0))</f>
        <v/>
      </c>
      <c r="I439" s="2" t="str">
        <f>_xlfn.XLOOKUP(C439,customers!$A$1:$A$1001,customers!$G$1:$G$1001,,0)</f>
        <v>United States</v>
      </c>
      <c r="J439" s="2" t="str">
        <f>_xlfn.XLOOKUP(Orders[[#This Row],[Customer ID]],customers!$A$1:$A$1001,customers!$F$1:$F$1001,,0)</f>
        <v>Houston</v>
      </c>
      <c r="K439" t="str">
        <f>INDEX(products!$A$1:$G$49,MATCH(orders!$D439,products!$A$1:$A$49,0),MATCH(orders!K$1,products!$A$1:$G$1,0))</f>
        <v>Lib</v>
      </c>
      <c r="L439" t="str">
        <f>INDEX(products!$A$1:$G$49,MATCH(orders!$D439,products!$A$1:$A$49,0),MATCH(orders!L$1,products!$A$1:$G$1,0))</f>
        <v>D</v>
      </c>
      <c r="M439" s="14">
        <f>INDEX(products!$A$1:$G$49,MATCH(orders!$D439,products!$A$1:$A$49,0),MATCH(orders!M$1,products!$A$1:$G$1,0))</f>
        <v>2.5</v>
      </c>
      <c r="N439" s="4">
        <f>INDEX(products!$A$1:$G$49,MATCH(orders!$D439,products!$A$1:$A$49,0),MATCH(orders!N$1,products!$A$1:$G$1,0))</f>
        <v>29.784999999999997</v>
      </c>
      <c r="O439" s="13">
        <f t="shared" si="30"/>
        <v>29.784999999999997</v>
      </c>
      <c r="P439" s="13">
        <f>_xlfn.XLOOKUP(Orders[[#This Row],[Product ID]],products!$A$1:$A$49,products!$G$1:$G$49,,0)</f>
        <v>3.8720499999999998</v>
      </c>
      <c r="Q439" s="13">
        <f t="shared" si="31"/>
        <v>3.8720499999999998</v>
      </c>
      <c r="R439" t="str">
        <f t="shared" si="33"/>
        <v>Liberica</v>
      </c>
      <c r="S439" t="str">
        <f t="shared" si="34"/>
        <v>Dark</v>
      </c>
      <c r="T439" t="str">
        <f>_xlfn.XLOOKUP(Orders[[#This Row],[Customer ID]],customers!$A$1:$A$1001,customers!$I$1:$I$1001,,0)</f>
        <v>No</v>
      </c>
    </row>
    <row r="440" spans="1:20" x14ac:dyDescent="0.35">
      <c r="A440" s="2" t="s">
        <v>2956</v>
      </c>
      <c r="B440" s="3">
        <v>43483</v>
      </c>
      <c r="C440" s="2" t="s">
        <v>3042</v>
      </c>
      <c r="D440" t="s">
        <v>6169</v>
      </c>
      <c r="E440" t="str">
        <f t="shared" si="32"/>
        <v>Liberica-Dark-0.5</v>
      </c>
      <c r="F440" s="2">
        <v>2</v>
      </c>
      <c r="G440" s="2" t="str" cm="1">
        <f t="array" ref="G440">_xlfn.XLOOKUP(C440, customers!$A$1:A1439,customers!$B$1:B1439,,0)</f>
        <v>Morgen Seson</v>
      </c>
      <c r="H440" s="2" t="str" cm="1">
        <f t="array" ref="H440">IF(_xlfn.XLOOKUP(C440,customers!$A$1:A1439,customers!$C$1:C1439,,0) = 0,"", _xlfn.XLOOKUP(C440,customers!$A$1:A1439,customers!$C$1:C1439,,0))</f>
        <v>msesonck@census.gov</v>
      </c>
      <c r="I440" s="2" t="str">
        <f>_xlfn.XLOOKUP(C440,customers!$A$1:$A$1001,customers!$G$1:$G$1001,,0)</f>
        <v>United States</v>
      </c>
      <c r="J440" s="2" t="str">
        <f>_xlfn.XLOOKUP(Orders[[#This Row],[Customer ID]],customers!$A$1:$A$1001,customers!$F$1:$F$1001,,0)</f>
        <v>Seattle</v>
      </c>
      <c r="K440" t="str">
        <f>INDEX(products!$A$1:$G$49,MATCH(orders!$D440,products!$A$1:$A$49,0),MATCH(orders!K$1,products!$A$1:$G$1,0))</f>
        <v>Lib</v>
      </c>
      <c r="L440" t="str">
        <f>INDEX(products!$A$1:$G$49,MATCH(orders!$D440,products!$A$1:$A$49,0),MATCH(orders!L$1,products!$A$1:$G$1,0))</f>
        <v>D</v>
      </c>
      <c r="M440" s="14">
        <f>INDEX(products!$A$1:$G$49,MATCH(orders!$D440,products!$A$1:$A$49,0),MATCH(orders!M$1,products!$A$1:$G$1,0))</f>
        <v>0.5</v>
      </c>
      <c r="N440" s="4">
        <f>INDEX(products!$A$1:$G$49,MATCH(orders!$D440,products!$A$1:$A$49,0),MATCH(orders!N$1,products!$A$1:$G$1,0))</f>
        <v>7.77</v>
      </c>
      <c r="O440" s="13">
        <f t="shared" si="30"/>
        <v>15.54</v>
      </c>
      <c r="P440" s="13">
        <f>_xlfn.XLOOKUP(Orders[[#This Row],[Product ID]],products!$A$1:$A$49,products!$G$1:$G$49,,0)</f>
        <v>1.0101</v>
      </c>
      <c r="Q440" s="13">
        <f t="shared" si="31"/>
        <v>2.0202</v>
      </c>
      <c r="R440" t="str">
        <f t="shared" si="33"/>
        <v>Liberica</v>
      </c>
      <c r="S440" t="str">
        <f t="shared" si="34"/>
        <v>Dark</v>
      </c>
      <c r="T440" t="str">
        <f>_xlfn.XLOOKUP(Orders[[#This Row],[Customer ID]],customers!$A$1:$A$1001,customers!$I$1:$I$1001,,0)</f>
        <v>No</v>
      </c>
    </row>
    <row r="441" spans="1:20" x14ac:dyDescent="0.35">
      <c r="A441" s="2" t="s">
        <v>2962</v>
      </c>
      <c r="B441" s="3">
        <v>43562</v>
      </c>
      <c r="C441" s="2" t="s">
        <v>2963</v>
      </c>
      <c r="D441" t="s">
        <v>6176</v>
      </c>
      <c r="E441" t="str">
        <f t="shared" si="32"/>
        <v>Excelsa-Light-0.5</v>
      </c>
      <c r="F441" s="2">
        <v>4</v>
      </c>
      <c r="G441" s="2" t="str" cm="1">
        <f t="array" ref="G441">_xlfn.XLOOKUP(C441, customers!$A$1:A1440,customers!$B$1:B1440,,0)</f>
        <v>Chickie Ragless</v>
      </c>
      <c r="H441" s="2" t="str" cm="1">
        <f t="array" ref="H441">IF(_xlfn.XLOOKUP(C441,customers!$A$1:A1440,customers!$C$1:C1440,,0) = 0,"", _xlfn.XLOOKUP(C441,customers!$A$1:A1440,customers!$C$1:C1440,,0))</f>
        <v>craglessc7@webmd.com</v>
      </c>
      <c r="I441" s="2" t="str">
        <f>_xlfn.XLOOKUP(C441,customers!$A$1:$A$1001,customers!$G$1:$G$1001,,0)</f>
        <v>Ireland</v>
      </c>
      <c r="J441" s="2" t="str">
        <f>_xlfn.XLOOKUP(Orders[[#This Row],[Customer ID]],customers!$A$1:$A$1001,customers!$F$1:$F$1001,,0)</f>
        <v>Caherconlish</v>
      </c>
      <c r="K441" t="str">
        <f>INDEX(products!$A$1:$G$49,MATCH(orders!$D441,products!$A$1:$A$49,0),MATCH(orders!K$1,products!$A$1:$G$1,0))</f>
        <v>Exc</v>
      </c>
      <c r="L441" t="str">
        <f>INDEX(products!$A$1:$G$49,MATCH(orders!$D441,products!$A$1:$A$49,0),MATCH(orders!L$1,products!$A$1:$G$1,0))</f>
        <v>L</v>
      </c>
      <c r="M441" s="14">
        <f>INDEX(products!$A$1:$G$49,MATCH(orders!$D441,products!$A$1:$A$49,0),MATCH(orders!M$1,products!$A$1:$G$1,0))</f>
        <v>0.5</v>
      </c>
      <c r="N441" s="4">
        <f>INDEX(products!$A$1:$G$49,MATCH(orders!$D441,products!$A$1:$A$49,0),MATCH(orders!N$1,products!$A$1:$G$1,0))</f>
        <v>8.91</v>
      </c>
      <c r="O441" s="13">
        <f t="shared" si="30"/>
        <v>35.64</v>
      </c>
      <c r="P441" s="13">
        <f>_xlfn.XLOOKUP(Orders[[#This Row],[Product ID]],products!$A$1:$A$49,products!$G$1:$G$49,,0)</f>
        <v>0.98009999999999997</v>
      </c>
      <c r="Q441" s="13">
        <f t="shared" si="31"/>
        <v>3.9203999999999999</v>
      </c>
      <c r="R441" t="str">
        <f t="shared" si="33"/>
        <v>Execelsa</v>
      </c>
      <c r="S441" t="str">
        <f t="shared" si="34"/>
        <v>Light</v>
      </c>
      <c r="T441" t="str">
        <f>_xlfn.XLOOKUP(Orders[[#This Row],[Customer ID]],customers!$A$1:$A$1001,customers!$I$1:$I$1001,,0)</f>
        <v>No</v>
      </c>
    </row>
    <row r="442" spans="1:20" x14ac:dyDescent="0.35">
      <c r="A442" s="2" t="s">
        <v>2968</v>
      </c>
      <c r="B442" s="3">
        <v>44230</v>
      </c>
      <c r="C442" s="2" t="s">
        <v>2969</v>
      </c>
      <c r="D442" t="s">
        <v>6175</v>
      </c>
      <c r="E442" t="str">
        <f t="shared" si="32"/>
        <v>Arabica-Medium-2.5</v>
      </c>
      <c r="F442" s="2">
        <v>4</v>
      </c>
      <c r="G442" s="2" t="str" cm="1">
        <f t="array" ref="G442">_xlfn.XLOOKUP(C442, customers!$A$1:A1441,customers!$B$1:B1441,,0)</f>
        <v>Freda Hollows</v>
      </c>
      <c r="H442" s="2" t="str" cm="1">
        <f t="array" ref="H442">IF(_xlfn.XLOOKUP(C442,customers!$A$1:A1441,customers!$C$1:C1441,,0) = 0,"", _xlfn.XLOOKUP(C442,customers!$A$1:A1441,customers!$C$1:C1441,,0))</f>
        <v>fhollowsc8@blogtalkradio.com</v>
      </c>
      <c r="I442" s="2" t="str">
        <f>_xlfn.XLOOKUP(C442,customers!$A$1:$A$1001,customers!$G$1:$G$1001,,0)</f>
        <v>United States</v>
      </c>
      <c r="J442" s="2" t="str">
        <f>_xlfn.XLOOKUP(Orders[[#This Row],[Customer ID]],customers!$A$1:$A$1001,customers!$F$1:$F$1001,,0)</f>
        <v>Buffalo</v>
      </c>
      <c r="K442" t="str">
        <f>INDEX(products!$A$1:$G$49,MATCH(orders!$D442,products!$A$1:$A$49,0),MATCH(orders!K$1,products!$A$1:$G$1,0))</f>
        <v>Ara</v>
      </c>
      <c r="L442" t="str">
        <f>INDEX(products!$A$1:$G$49,MATCH(orders!$D442,products!$A$1:$A$49,0),MATCH(orders!L$1,products!$A$1:$G$1,0))</f>
        <v>M</v>
      </c>
      <c r="M442" s="14">
        <f>INDEX(products!$A$1:$G$49,MATCH(orders!$D442,products!$A$1:$A$49,0),MATCH(orders!M$1,products!$A$1:$G$1,0))</f>
        <v>2.5</v>
      </c>
      <c r="N442" s="4">
        <f>INDEX(products!$A$1:$G$49,MATCH(orders!$D442,products!$A$1:$A$49,0),MATCH(orders!N$1,products!$A$1:$G$1,0))</f>
        <v>25.874999999999996</v>
      </c>
      <c r="O442" s="13">
        <f t="shared" si="30"/>
        <v>103.49999999999999</v>
      </c>
      <c r="P442" s="13">
        <f>_xlfn.XLOOKUP(Orders[[#This Row],[Product ID]],products!$A$1:$A$49,products!$G$1:$G$49,,0)</f>
        <v>2.3287499999999994</v>
      </c>
      <c r="Q442" s="13">
        <f t="shared" si="31"/>
        <v>9.3149999999999977</v>
      </c>
      <c r="R442" t="str">
        <f t="shared" si="33"/>
        <v>Arabica</v>
      </c>
      <c r="S442" t="str">
        <f t="shared" si="34"/>
        <v>Medium</v>
      </c>
      <c r="T442" t="str">
        <f>_xlfn.XLOOKUP(Orders[[#This Row],[Customer ID]],customers!$A$1:$A$1001,customers!$I$1:$I$1001,,0)</f>
        <v>Yes</v>
      </c>
    </row>
    <row r="443" spans="1:20" x14ac:dyDescent="0.35">
      <c r="A443" s="2" t="s">
        <v>2974</v>
      </c>
      <c r="B443" s="3">
        <v>43573</v>
      </c>
      <c r="C443" s="2" t="s">
        <v>2975</v>
      </c>
      <c r="D443" t="s">
        <v>6183</v>
      </c>
      <c r="E443" t="str">
        <f t="shared" si="32"/>
        <v>Excelsa-Dark-1</v>
      </c>
      <c r="F443" s="2">
        <v>3</v>
      </c>
      <c r="G443" s="2" t="str" cm="1">
        <f t="array" ref="G443">_xlfn.XLOOKUP(C443, customers!$A$1:A1442,customers!$B$1:B1442,,0)</f>
        <v>Livy Lathleiff</v>
      </c>
      <c r="H443" s="2" t="str" cm="1">
        <f t="array" ref="H443">IF(_xlfn.XLOOKUP(C443,customers!$A$1:A1442,customers!$C$1:C1442,,0) = 0,"", _xlfn.XLOOKUP(C443,customers!$A$1:A1442,customers!$C$1:C1442,,0))</f>
        <v>llathleiffc9@nationalgeographic.com</v>
      </c>
      <c r="I443" s="2" t="str">
        <f>_xlfn.XLOOKUP(C443,customers!$A$1:$A$1001,customers!$G$1:$G$1001,,0)</f>
        <v>Ireland</v>
      </c>
      <c r="J443" s="2" t="str">
        <f>_xlfn.XLOOKUP(Orders[[#This Row],[Customer ID]],customers!$A$1:$A$1001,customers!$F$1:$F$1001,,0)</f>
        <v>Shankill</v>
      </c>
      <c r="K443" t="str">
        <f>INDEX(products!$A$1:$G$49,MATCH(orders!$D443,products!$A$1:$A$49,0),MATCH(orders!K$1,products!$A$1:$G$1,0))</f>
        <v>Exc</v>
      </c>
      <c r="L443" t="str">
        <f>INDEX(products!$A$1:$G$49,MATCH(orders!$D443,products!$A$1:$A$49,0),MATCH(orders!L$1,products!$A$1:$G$1,0))</f>
        <v>D</v>
      </c>
      <c r="M443" s="14">
        <f>INDEX(products!$A$1:$G$49,MATCH(orders!$D443,products!$A$1:$A$49,0),MATCH(orders!M$1,products!$A$1:$G$1,0))</f>
        <v>1</v>
      </c>
      <c r="N443" s="4">
        <f>INDEX(products!$A$1:$G$49,MATCH(orders!$D443,products!$A$1:$A$49,0),MATCH(orders!N$1,products!$A$1:$G$1,0))</f>
        <v>12.15</v>
      </c>
      <c r="O443" s="13">
        <f t="shared" si="30"/>
        <v>36.450000000000003</v>
      </c>
      <c r="P443" s="13">
        <f>_xlfn.XLOOKUP(Orders[[#This Row],[Product ID]],products!$A$1:$A$49,products!$G$1:$G$49,,0)</f>
        <v>1.3365</v>
      </c>
      <c r="Q443" s="13">
        <f t="shared" si="31"/>
        <v>4.0095000000000001</v>
      </c>
      <c r="R443" t="str">
        <f t="shared" si="33"/>
        <v>Execelsa</v>
      </c>
      <c r="S443" t="str">
        <f t="shared" si="34"/>
        <v>Dark</v>
      </c>
      <c r="T443" t="str">
        <f>_xlfn.XLOOKUP(Orders[[#This Row],[Customer ID]],customers!$A$1:$A$1001,customers!$I$1:$I$1001,,0)</f>
        <v>Yes</v>
      </c>
    </row>
    <row r="444" spans="1:20" x14ac:dyDescent="0.35">
      <c r="A444" s="2" t="s">
        <v>2980</v>
      </c>
      <c r="B444" s="3">
        <v>44384</v>
      </c>
      <c r="C444" s="2" t="s">
        <v>2981</v>
      </c>
      <c r="D444" t="s">
        <v>6173</v>
      </c>
      <c r="E444" t="str">
        <f t="shared" si="32"/>
        <v>Robusta-Light-0.5</v>
      </c>
      <c r="F444" s="2">
        <v>5</v>
      </c>
      <c r="G444" s="2" t="str" cm="1">
        <f t="array" ref="G444">_xlfn.XLOOKUP(C444, customers!$A$1:A1443,customers!$B$1:B1443,,0)</f>
        <v>Koralle Heads</v>
      </c>
      <c r="H444" s="2" t="str" cm="1">
        <f t="array" ref="H444">IF(_xlfn.XLOOKUP(C444,customers!$A$1:A1443,customers!$C$1:C1443,,0) = 0,"", _xlfn.XLOOKUP(C444,customers!$A$1:A1443,customers!$C$1:C1443,,0))</f>
        <v>kheadsca@jalbum.net</v>
      </c>
      <c r="I444" s="2" t="str">
        <f>_xlfn.XLOOKUP(C444,customers!$A$1:$A$1001,customers!$G$1:$G$1001,,0)</f>
        <v>United States</v>
      </c>
      <c r="J444" s="2" t="str">
        <f>_xlfn.XLOOKUP(Orders[[#This Row],[Customer ID]],customers!$A$1:$A$1001,customers!$F$1:$F$1001,,0)</f>
        <v>Bethlehem</v>
      </c>
      <c r="K444" t="str">
        <f>INDEX(products!$A$1:$G$49,MATCH(orders!$D444,products!$A$1:$A$49,0),MATCH(orders!K$1,products!$A$1:$G$1,0))</f>
        <v>Rob</v>
      </c>
      <c r="L444" t="str">
        <f>INDEX(products!$A$1:$G$49,MATCH(orders!$D444,products!$A$1:$A$49,0),MATCH(orders!L$1,products!$A$1:$G$1,0))</f>
        <v>L</v>
      </c>
      <c r="M444" s="14">
        <f>INDEX(products!$A$1:$G$49,MATCH(orders!$D444,products!$A$1:$A$49,0),MATCH(orders!M$1,products!$A$1:$G$1,0))</f>
        <v>0.5</v>
      </c>
      <c r="N444" s="4">
        <f>INDEX(products!$A$1:$G$49,MATCH(orders!$D444,products!$A$1:$A$49,0),MATCH(orders!N$1,products!$A$1:$G$1,0))</f>
        <v>7.169999999999999</v>
      </c>
      <c r="O444" s="13">
        <f t="shared" si="30"/>
        <v>35.849999999999994</v>
      </c>
      <c r="P444" s="13">
        <f>_xlfn.XLOOKUP(Orders[[#This Row],[Product ID]],products!$A$1:$A$49,products!$G$1:$G$49,,0)</f>
        <v>0.43019999999999992</v>
      </c>
      <c r="Q444" s="13">
        <f t="shared" si="31"/>
        <v>2.1509999999999998</v>
      </c>
      <c r="R444" t="str">
        <f t="shared" si="33"/>
        <v>Robusta</v>
      </c>
      <c r="S444" t="str">
        <f t="shared" si="34"/>
        <v>Light</v>
      </c>
      <c r="T444" t="str">
        <f>_xlfn.XLOOKUP(Orders[[#This Row],[Customer ID]],customers!$A$1:$A$1001,customers!$I$1:$I$1001,,0)</f>
        <v>No</v>
      </c>
    </row>
    <row r="445" spans="1:20" x14ac:dyDescent="0.35">
      <c r="A445" s="2" t="s">
        <v>2986</v>
      </c>
      <c r="B445" s="3">
        <v>44250</v>
      </c>
      <c r="C445" s="2" t="s">
        <v>2987</v>
      </c>
      <c r="D445" t="s">
        <v>6184</v>
      </c>
      <c r="E445" t="str">
        <f t="shared" si="32"/>
        <v>Excelsa-Light-0.2</v>
      </c>
      <c r="F445" s="2">
        <v>5</v>
      </c>
      <c r="G445" s="2" t="str" cm="1">
        <f t="array" ref="G445">_xlfn.XLOOKUP(C445, customers!$A$1:A1444,customers!$B$1:B1444,,0)</f>
        <v>Theo Bowne</v>
      </c>
      <c r="H445" s="2" t="str" cm="1">
        <f t="array" ref="H445">IF(_xlfn.XLOOKUP(C445,customers!$A$1:A1444,customers!$C$1:C1444,,0) = 0,"", _xlfn.XLOOKUP(C445,customers!$A$1:A1444,customers!$C$1:C1444,,0))</f>
        <v>tbownecb@unicef.org</v>
      </c>
      <c r="I445" s="2" t="str">
        <f>_xlfn.XLOOKUP(C445,customers!$A$1:$A$1001,customers!$G$1:$G$1001,,0)</f>
        <v>Ireland</v>
      </c>
      <c r="J445" s="2" t="str">
        <f>_xlfn.XLOOKUP(Orders[[#This Row],[Customer ID]],customers!$A$1:$A$1001,customers!$F$1:$F$1001,,0)</f>
        <v>Watergrasshill</v>
      </c>
      <c r="K445" t="str">
        <f>INDEX(products!$A$1:$G$49,MATCH(orders!$D445,products!$A$1:$A$49,0),MATCH(orders!K$1,products!$A$1:$G$1,0))</f>
        <v>Exc</v>
      </c>
      <c r="L445" t="str">
        <f>INDEX(products!$A$1:$G$49,MATCH(orders!$D445,products!$A$1:$A$49,0),MATCH(orders!L$1,products!$A$1:$G$1,0))</f>
        <v>L</v>
      </c>
      <c r="M445" s="14">
        <f>INDEX(products!$A$1:$G$49,MATCH(orders!$D445,products!$A$1:$A$49,0),MATCH(orders!M$1,products!$A$1:$G$1,0))</f>
        <v>0.2</v>
      </c>
      <c r="N445" s="4">
        <f>INDEX(products!$A$1:$G$49,MATCH(orders!$D445,products!$A$1:$A$49,0),MATCH(orders!N$1,products!$A$1:$G$1,0))</f>
        <v>4.4550000000000001</v>
      </c>
      <c r="O445" s="13">
        <f t="shared" si="30"/>
        <v>22.274999999999999</v>
      </c>
      <c r="P445" s="13">
        <f>_xlfn.XLOOKUP(Orders[[#This Row],[Product ID]],products!$A$1:$A$49,products!$G$1:$G$49,,0)</f>
        <v>0.49004999999999999</v>
      </c>
      <c r="Q445" s="13">
        <f t="shared" si="31"/>
        <v>2.45025</v>
      </c>
      <c r="R445" t="str">
        <f t="shared" si="33"/>
        <v>Execelsa</v>
      </c>
      <c r="S445" t="str">
        <f t="shared" si="34"/>
        <v>Light</v>
      </c>
      <c r="T445" t="str">
        <f>_xlfn.XLOOKUP(Orders[[#This Row],[Customer ID]],customers!$A$1:$A$1001,customers!$I$1:$I$1001,,0)</f>
        <v>Yes</v>
      </c>
    </row>
    <row r="446" spans="1:20" x14ac:dyDescent="0.35">
      <c r="A446" s="2" t="s">
        <v>2992</v>
      </c>
      <c r="B446" s="3">
        <v>44418</v>
      </c>
      <c r="C446" s="2" t="s">
        <v>2993</v>
      </c>
      <c r="D446" t="s">
        <v>6156</v>
      </c>
      <c r="E446" t="str">
        <f t="shared" si="32"/>
        <v>Excelsa-Medium-0.2</v>
      </c>
      <c r="F446" s="2">
        <v>6</v>
      </c>
      <c r="G446" s="2" t="str" cm="1">
        <f t="array" ref="G446">_xlfn.XLOOKUP(C446, customers!$A$1:A1445,customers!$B$1:B1445,,0)</f>
        <v>Rasia Jacquemard</v>
      </c>
      <c r="H446" s="2" t="str" cm="1">
        <f t="array" ref="H446">IF(_xlfn.XLOOKUP(C446,customers!$A$1:A1445,customers!$C$1:C1445,,0) = 0,"", _xlfn.XLOOKUP(C446,customers!$A$1:A1445,customers!$C$1:C1445,,0))</f>
        <v>rjacquemardcc@acquirethisname.com</v>
      </c>
      <c r="I446" s="2" t="str">
        <f>_xlfn.XLOOKUP(C446,customers!$A$1:$A$1001,customers!$G$1:$G$1001,,0)</f>
        <v>Ireland</v>
      </c>
      <c r="J446" s="2" t="str">
        <f>_xlfn.XLOOKUP(Orders[[#This Row],[Customer ID]],customers!$A$1:$A$1001,customers!$F$1:$F$1001,,0)</f>
        <v>Monasterevin</v>
      </c>
      <c r="K446" t="str">
        <f>INDEX(products!$A$1:$G$49,MATCH(orders!$D446,products!$A$1:$A$49,0),MATCH(orders!K$1,products!$A$1:$G$1,0))</f>
        <v>Exc</v>
      </c>
      <c r="L446" t="str">
        <f>INDEX(products!$A$1:$G$49,MATCH(orders!$D446,products!$A$1:$A$49,0),MATCH(orders!L$1,products!$A$1:$G$1,0))</f>
        <v>M</v>
      </c>
      <c r="M446" s="14">
        <f>INDEX(products!$A$1:$G$49,MATCH(orders!$D446,products!$A$1:$A$49,0),MATCH(orders!M$1,products!$A$1:$G$1,0))</f>
        <v>0.2</v>
      </c>
      <c r="N446" s="4">
        <f>INDEX(products!$A$1:$G$49,MATCH(orders!$D446,products!$A$1:$A$49,0),MATCH(orders!N$1,products!$A$1:$G$1,0))</f>
        <v>4.125</v>
      </c>
      <c r="O446" s="13">
        <f t="shared" si="30"/>
        <v>24.75</v>
      </c>
      <c r="P446" s="13">
        <f>_xlfn.XLOOKUP(Orders[[#This Row],[Product ID]],products!$A$1:$A$49,products!$G$1:$G$49,,0)</f>
        <v>0.45374999999999999</v>
      </c>
      <c r="Q446" s="13">
        <f t="shared" si="31"/>
        <v>2.7225000000000001</v>
      </c>
      <c r="R446" t="str">
        <f t="shared" si="33"/>
        <v>Execelsa</v>
      </c>
      <c r="S446" t="str">
        <f t="shared" si="34"/>
        <v>Medium</v>
      </c>
      <c r="T446" t="str">
        <f>_xlfn.XLOOKUP(Orders[[#This Row],[Customer ID]],customers!$A$1:$A$1001,customers!$I$1:$I$1001,,0)</f>
        <v>No</v>
      </c>
    </row>
    <row r="447" spans="1:20" x14ac:dyDescent="0.35">
      <c r="A447" s="2" t="s">
        <v>2999</v>
      </c>
      <c r="B447" s="3">
        <v>43784</v>
      </c>
      <c r="C447" s="2" t="s">
        <v>3000</v>
      </c>
      <c r="D447" t="s">
        <v>6181</v>
      </c>
      <c r="E447" t="str">
        <f t="shared" si="32"/>
        <v>Liberica-Medium-2.5</v>
      </c>
      <c r="F447" s="2">
        <v>2</v>
      </c>
      <c r="G447" s="2" t="str" cm="1">
        <f t="array" ref="G447">_xlfn.XLOOKUP(C447, customers!$A$1:A1446,customers!$B$1:B1446,,0)</f>
        <v>Kizzie Warman</v>
      </c>
      <c r="H447" s="2" t="str" cm="1">
        <f t="array" ref="H447">IF(_xlfn.XLOOKUP(C447,customers!$A$1:A1446,customers!$C$1:C1446,,0) = 0,"", _xlfn.XLOOKUP(C447,customers!$A$1:A1446,customers!$C$1:C1446,,0))</f>
        <v>kwarmancd@printfriendly.com</v>
      </c>
      <c r="I447" s="2" t="str">
        <f>_xlfn.XLOOKUP(C447,customers!$A$1:$A$1001,customers!$G$1:$G$1001,,0)</f>
        <v>Ireland</v>
      </c>
      <c r="J447" s="2" t="str">
        <f>_xlfn.XLOOKUP(Orders[[#This Row],[Customer ID]],customers!$A$1:$A$1001,customers!$F$1:$F$1001,,0)</f>
        <v>Sandyford</v>
      </c>
      <c r="K447" t="str">
        <f>INDEX(products!$A$1:$G$49,MATCH(orders!$D447,products!$A$1:$A$49,0),MATCH(orders!K$1,products!$A$1:$G$1,0))</f>
        <v>Lib</v>
      </c>
      <c r="L447" t="str">
        <f>INDEX(products!$A$1:$G$49,MATCH(orders!$D447,products!$A$1:$A$49,0),MATCH(orders!L$1,products!$A$1:$G$1,0))</f>
        <v>M</v>
      </c>
      <c r="M447" s="14">
        <f>INDEX(products!$A$1:$G$49,MATCH(orders!$D447,products!$A$1:$A$49,0),MATCH(orders!M$1,products!$A$1:$G$1,0))</f>
        <v>2.5</v>
      </c>
      <c r="N447" s="4">
        <f>INDEX(products!$A$1:$G$49,MATCH(orders!$D447,products!$A$1:$A$49,0),MATCH(orders!N$1,products!$A$1:$G$1,0))</f>
        <v>33.464999999999996</v>
      </c>
      <c r="O447" s="13">
        <f t="shared" si="30"/>
        <v>66.929999999999993</v>
      </c>
      <c r="P447" s="13">
        <f>_xlfn.XLOOKUP(Orders[[#This Row],[Product ID]],products!$A$1:$A$49,products!$G$1:$G$49,,0)</f>
        <v>4.3504499999999995</v>
      </c>
      <c r="Q447" s="13">
        <f t="shared" si="31"/>
        <v>8.700899999999999</v>
      </c>
      <c r="R447" t="str">
        <f t="shared" si="33"/>
        <v>Liberica</v>
      </c>
      <c r="S447" t="str">
        <f t="shared" si="34"/>
        <v>Medium</v>
      </c>
      <c r="T447" t="str">
        <f>_xlfn.XLOOKUP(Orders[[#This Row],[Customer ID]],customers!$A$1:$A$1001,customers!$I$1:$I$1001,,0)</f>
        <v>Yes</v>
      </c>
    </row>
    <row r="448" spans="1:20" x14ac:dyDescent="0.35">
      <c r="A448" s="2" t="s">
        <v>3004</v>
      </c>
      <c r="B448" s="3">
        <v>43816</v>
      </c>
      <c r="C448" s="2" t="s">
        <v>3005</v>
      </c>
      <c r="D448" t="s">
        <v>6160</v>
      </c>
      <c r="E448" t="str">
        <f t="shared" si="32"/>
        <v>Liberica-Medium-0.5</v>
      </c>
      <c r="F448" s="2">
        <v>1</v>
      </c>
      <c r="G448" s="2" t="str" cm="1">
        <f t="array" ref="G448">_xlfn.XLOOKUP(C448, customers!$A$1:A1447,customers!$B$1:B1447,,0)</f>
        <v>Wain Cholomin</v>
      </c>
      <c r="H448" s="2" t="str" cm="1">
        <f t="array" ref="H448">IF(_xlfn.XLOOKUP(C448,customers!$A$1:A1447,customers!$C$1:C1447,,0) = 0,"", _xlfn.XLOOKUP(C448,customers!$A$1:A1447,customers!$C$1:C1447,,0))</f>
        <v>wcholomince@about.com</v>
      </c>
      <c r="I448" s="2" t="str">
        <f>_xlfn.XLOOKUP(C448,customers!$A$1:$A$1001,customers!$G$1:$G$1001,,0)</f>
        <v>United Kingdom</v>
      </c>
      <c r="J448" s="2" t="str">
        <f>_xlfn.XLOOKUP(Orders[[#This Row],[Customer ID]],customers!$A$1:$A$1001,customers!$F$1:$F$1001,,0)</f>
        <v>Birmingham</v>
      </c>
      <c r="K448" t="str">
        <f>INDEX(products!$A$1:$G$49,MATCH(orders!$D448,products!$A$1:$A$49,0),MATCH(orders!K$1,products!$A$1:$G$1,0))</f>
        <v>Lib</v>
      </c>
      <c r="L448" t="str">
        <f>INDEX(products!$A$1:$G$49,MATCH(orders!$D448,products!$A$1:$A$49,0),MATCH(orders!L$1,products!$A$1:$G$1,0))</f>
        <v>M</v>
      </c>
      <c r="M448" s="14">
        <f>INDEX(products!$A$1:$G$49,MATCH(orders!$D448,products!$A$1:$A$49,0),MATCH(orders!M$1,products!$A$1:$G$1,0))</f>
        <v>0.5</v>
      </c>
      <c r="N448" s="4">
        <f>INDEX(products!$A$1:$G$49,MATCH(orders!$D448,products!$A$1:$A$49,0),MATCH(orders!N$1,products!$A$1:$G$1,0))</f>
        <v>8.73</v>
      </c>
      <c r="O448" s="13">
        <f t="shared" si="30"/>
        <v>8.73</v>
      </c>
      <c r="P448" s="13">
        <f>_xlfn.XLOOKUP(Orders[[#This Row],[Product ID]],products!$A$1:$A$49,products!$G$1:$G$49,,0)</f>
        <v>1.1349</v>
      </c>
      <c r="Q448" s="13">
        <f t="shared" si="31"/>
        <v>1.1349</v>
      </c>
      <c r="R448" t="str">
        <f t="shared" si="33"/>
        <v>Liberica</v>
      </c>
      <c r="S448" t="str">
        <f t="shared" si="34"/>
        <v>Medium</v>
      </c>
      <c r="T448" t="str">
        <f>_xlfn.XLOOKUP(Orders[[#This Row],[Customer ID]],customers!$A$1:$A$1001,customers!$I$1:$I$1001,,0)</f>
        <v>Yes</v>
      </c>
    </row>
    <row r="449" spans="1:20" x14ac:dyDescent="0.35">
      <c r="A449" s="2" t="s">
        <v>3010</v>
      </c>
      <c r="B449" s="3">
        <v>43908</v>
      </c>
      <c r="C449" s="2" t="s">
        <v>3011</v>
      </c>
      <c r="D449" t="s">
        <v>6146</v>
      </c>
      <c r="E449" t="str">
        <f t="shared" si="32"/>
        <v>Robusta-Medium-0.5</v>
      </c>
      <c r="F449" s="2">
        <v>3</v>
      </c>
      <c r="G449" s="2" t="str" cm="1">
        <f t="array" ref="G449">_xlfn.XLOOKUP(C449, customers!$A$1:A1448,customers!$B$1:B1448,,0)</f>
        <v>Arleen Braidman</v>
      </c>
      <c r="H449" s="2" t="str" cm="1">
        <f t="array" ref="H449">IF(_xlfn.XLOOKUP(C449,customers!$A$1:A1448,customers!$C$1:C1448,,0) = 0,"", _xlfn.XLOOKUP(C449,customers!$A$1:A1448,customers!$C$1:C1448,,0))</f>
        <v>abraidmancf@census.gov</v>
      </c>
      <c r="I449" s="2" t="str">
        <f>_xlfn.XLOOKUP(C449,customers!$A$1:$A$1001,customers!$G$1:$G$1001,,0)</f>
        <v>United States</v>
      </c>
      <c r="J449" s="2" t="str">
        <f>_xlfn.XLOOKUP(Orders[[#This Row],[Customer ID]],customers!$A$1:$A$1001,customers!$F$1:$F$1001,,0)</f>
        <v>Phoenix</v>
      </c>
      <c r="K449" t="str">
        <f>INDEX(products!$A$1:$G$49,MATCH(orders!$D449,products!$A$1:$A$49,0),MATCH(orders!K$1,products!$A$1:$G$1,0))</f>
        <v>Rob</v>
      </c>
      <c r="L449" t="str">
        <f>INDEX(products!$A$1:$G$49,MATCH(orders!$D449,products!$A$1:$A$49,0),MATCH(orders!L$1,products!$A$1:$G$1,0))</f>
        <v>M</v>
      </c>
      <c r="M449" s="14">
        <f>INDEX(products!$A$1:$G$49,MATCH(orders!$D449,products!$A$1:$A$49,0),MATCH(orders!M$1,products!$A$1:$G$1,0))</f>
        <v>0.5</v>
      </c>
      <c r="N449" s="4">
        <f>INDEX(products!$A$1:$G$49,MATCH(orders!$D449,products!$A$1:$A$49,0),MATCH(orders!N$1,products!$A$1:$G$1,0))</f>
        <v>5.97</v>
      </c>
      <c r="O449" s="13">
        <f t="shared" si="30"/>
        <v>17.91</v>
      </c>
      <c r="P449" s="13">
        <f>_xlfn.XLOOKUP(Orders[[#This Row],[Product ID]],products!$A$1:$A$49,products!$G$1:$G$49,,0)</f>
        <v>0.35819999999999996</v>
      </c>
      <c r="Q449" s="13">
        <f t="shared" si="31"/>
        <v>1.0745999999999998</v>
      </c>
      <c r="R449" t="str">
        <f t="shared" si="33"/>
        <v>Robusta</v>
      </c>
      <c r="S449" t="str">
        <f t="shared" si="34"/>
        <v>Medium</v>
      </c>
      <c r="T449" t="str">
        <f>_xlfn.XLOOKUP(Orders[[#This Row],[Customer ID]],customers!$A$1:$A$1001,customers!$I$1:$I$1001,,0)</f>
        <v>No</v>
      </c>
    </row>
    <row r="450" spans="1:20" x14ac:dyDescent="0.35">
      <c r="A450" s="2" t="s">
        <v>3015</v>
      </c>
      <c r="B450" s="3">
        <v>44718</v>
      </c>
      <c r="C450" s="2" t="s">
        <v>3016</v>
      </c>
      <c r="D450" t="s">
        <v>6173</v>
      </c>
      <c r="E450" t="str">
        <f t="shared" si="32"/>
        <v>Robusta-Light-0.5</v>
      </c>
      <c r="F450" s="2">
        <v>1</v>
      </c>
      <c r="G450" s="2" t="str" cm="1">
        <f t="array" ref="G450">_xlfn.XLOOKUP(C450, customers!$A$1:A1449,customers!$B$1:B1449,,0)</f>
        <v>Pru Durban</v>
      </c>
      <c r="H450" s="2" t="str" cm="1">
        <f t="array" ref="H450">IF(_xlfn.XLOOKUP(C450,customers!$A$1:A1449,customers!$C$1:C1449,,0) = 0,"", _xlfn.XLOOKUP(C450,customers!$A$1:A1449,customers!$C$1:C1449,,0))</f>
        <v>pdurbancg@symantec.com</v>
      </c>
      <c r="I450" s="2" t="str">
        <f>_xlfn.XLOOKUP(C450,customers!$A$1:$A$1001,customers!$G$1:$G$1001,,0)</f>
        <v>Ireland</v>
      </c>
      <c r="J450" s="2" t="str">
        <f>_xlfn.XLOOKUP(Orders[[#This Row],[Customer ID]],customers!$A$1:$A$1001,customers!$F$1:$F$1001,,0)</f>
        <v>Longford</v>
      </c>
      <c r="K450" t="str">
        <f>INDEX(products!$A$1:$G$49,MATCH(orders!$D450,products!$A$1:$A$49,0),MATCH(orders!K$1,products!$A$1:$G$1,0))</f>
        <v>Rob</v>
      </c>
      <c r="L450" t="str">
        <f>INDEX(products!$A$1:$G$49,MATCH(orders!$D450,products!$A$1:$A$49,0),MATCH(orders!L$1,products!$A$1:$G$1,0))</f>
        <v>L</v>
      </c>
      <c r="M450" s="14">
        <f>INDEX(products!$A$1:$G$49,MATCH(orders!$D450,products!$A$1:$A$49,0),MATCH(orders!M$1,products!$A$1:$G$1,0))</f>
        <v>0.5</v>
      </c>
      <c r="N450" s="4">
        <f>INDEX(products!$A$1:$G$49,MATCH(orders!$D450,products!$A$1:$A$49,0),MATCH(orders!N$1,products!$A$1:$G$1,0))</f>
        <v>7.169999999999999</v>
      </c>
      <c r="O450" s="13">
        <f t="shared" ref="O450:O513" si="35">N450*F450</f>
        <v>7.169999999999999</v>
      </c>
      <c r="P450" s="13">
        <f>_xlfn.XLOOKUP(Orders[[#This Row],[Product ID]],products!$A$1:$A$49,products!$G$1:$G$49,,0)</f>
        <v>0.43019999999999992</v>
      </c>
      <c r="Q450" s="13">
        <f t="shared" ref="Q450:Q513" si="36">P450*F450</f>
        <v>0.43019999999999992</v>
      </c>
      <c r="R450" t="str">
        <f t="shared" si="33"/>
        <v>Robusta</v>
      </c>
      <c r="S450" t="str">
        <f t="shared" si="34"/>
        <v>Light</v>
      </c>
      <c r="T450" t="str">
        <f>_xlfn.XLOOKUP(Orders[[#This Row],[Customer ID]],customers!$A$1:$A$1001,customers!$I$1:$I$1001,,0)</f>
        <v>No</v>
      </c>
    </row>
    <row r="451" spans="1:20" x14ac:dyDescent="0.35">
      <c r="A451" s="2" t="s">
        <v>3021</v>
      </c>
      <c r="B451" s="3">
        <v>44336</v>
      </c>
      <c r="C451" s="2" t="s">
        <v>3022</v>
      </c>
      <c r="D451" t="s">
        <v>6163</v>
      </c>
      <c r="E451" t="str">
        <f t="shared" ref="E451:E514" si="37">IF(LEFT(D451,1)="R", "Robusta",
    IF(LEFT(D451,1)="A", "Arabica",
        IF(LEFT(D451,1)="E", "Excelsa",
            IF(LEFT(D451,1)="L", "Liberica", "")
        )
    )
) &amp; "-" &amp;
IF(MID(D451,3,1)="D", "Dark",
    IF(MID(D451,3,1)="M", "Medium",
        IF(MID(D451,3,1)="L", "Light", "")
    )
) &amp; "-" &amp;
MID(D451,5,LEN(D451)-4)</f>
        <v>Robusta-Dark-0.2</v>
      </c>
      <c r="F451" s="2">
        <v>2</v>
      </c>
      <c r="G451" s="2" t="str" cm="1">
        <f t="array" ref="G451">_xlfn.XLOOKUP(C451, customers!$A$1:A1450,customers!$B$1:B1450,,0)</f>
        <v>Antone Harrold</v>
      </c>
      <c r="H451" s="2" t="str" cm="1">
        <f t="array" ref="H451">IF(_xlfn.XLOOKUP(C451,customers!$A$1:A1450,customers!$C$1:C1450,,0) = 0,"", _xlfn.XLOOKUP(C451,customers!$A$1:A1450,customers!$C$1:C1450,,0))</f>
        <v>aharroldch@miibeian.gov.cn</v>
      </c>
      <c r="I451" s="2" t="str">
        <f>_xlfn.XLOOKUP(C451,customers!$A$1:$A$1001,customers!$G$1:$G$1001,,0)</f>
        <v>United States</v>
      </c>
      <c r="J451" s="2" t="str">
        <f>_xlfn.XLOOKUP(Orders[[#This Row],[Customer ID]],customers!$A$1:$A$1001,customers!$F$1:$F$1001,,0)</f>
        <v>Toledo</v>
      </c>
      <c r="K451" t="str">
        <f>INDEX(products!$A$1:$G$49,MATCH(orders!$D451,products!$A$1:$A$49,0),MATCH(orders!K$1,products!$A$1:$G$1,0))</f>
        <v>Rob</v>
      </c>
      <c r="L451" t="str">
        <f>INDEX(products!$A$1:$G$49,MATCH(orders!$D451,products!$A$1:$A$49,0),MATCH(orders!L$1,products!$A$1:$G$1,0))</f>
        <v>D</v>
      </c>
      <c r="M451" s="14">
        <f>INDEX(products!$A$1:$G$49,MATCH(orders!$D451,products!$A$1:$A$49,0),MATCH(orders!M$1,products!$A$1:$G$1,0))</f>
        <v>0.2</v>
      </c>
      <c r="N451" s="4">
        <f>INDEX(products!$A$1:$G$49,MATCH(orders!$D451,products!$A$1:$A$49,0),MATCH(orders!N$1,products!$A$1:$G$1,0))</f>
        <v>2.6849999999999996</v>
      </c>
      <c r="O451" s="13">
        <f t="shared" si="35"/>
        <v>5.3699999999999992</v>
      </c>
      <c r="P451" s="13">
        <f>_xlfn.XLOOKUP(Orders[[#This Row],[Product ID]],products!$A$1:$A$49,products!$G$1:$G$49,,0)</f>
        <v>0.16109999999999997</v>
      </c>
      <c r="Q451" s="13">
        <f t="shared" si="36"/>
        <v>0.32219999999999993</v>
      </c>
      <c r="R451" t="str">
        <f t="shared" ref="R451:R514" si="38">IF(K451="Rob","Robusta",IF(K451="Exc","Execelsa",IF(K451="Ara","Arabica",IF(K451="Lib","Liberica",""))))</f>
        <v>Robusta</v>
      </c>
      <c r="S451" t="str">
        <f t="shared" ref="S451:S514" si="39" xml:space="preserve"> IF(L451="M", "Medium", IF(L451="L","Light",IF(L451="D","Dark","")))</f>
        <v>Dark</v>
      </c>
      <c r="T451" t="str">
        <f>_xlfn.XLOOKUP(Orders[[#This Row],[Customer ID]],customers!$A$1:$A$1001,customers!$I$1:$I$1001,,0)</f>
        <v>No</v>
      </c>
    </row>
    <row r="452" spans="1:20" x14ac:dyDescent="0.35">
      <c r="A452" s="2" t="s">
        <v>3027</v>
      </c>
      <c r="B452" s="3">
        <v>44207</v>
      </c>
      <c r="C452" s="2" t="s">
        <v>3028</v>
      </c>
      <c r="D452" t="s">
        <v>6145</v>
      </c>
      <c r="E452" t="str">
        <f t="shared" si="37"/>
        <v>Liberica-Light-0.2</v>
      </c>
      <c r="F452" s="2">
        <v>5</v>
      </c>
      <c r="G452" s="2" t="str" cm="1">
        <f t="array" ref="G452">_xlfn.XLOOKUP(C452, customers!$A$1:A1451,customers!$B$1:B1451,,0)</f>
        <v>Sim Pamphilon</v>
      </c>
      <c r="H452" s="2" t="str" cm="1">
        <f t="array" ref="H452">IF(_xlfn.XLOOKUP(C452,customers!$A$1:A1451,customers!$C$1:C1451,,0) = 0,"", _xlfn.XLOOKUP(C452,customers!$A$1:A1451,customers!$C$1:C1451,,0))</f>
        <v>spamphilonci@mlb.com</v>
      </c>
      <c r="I452" s="2" t="str">
        <f>_xlfn.XLOOKUP(C452,customers!$A$1:$A$1001,customers!$G$1:$G$1001,,0)</f>
        <v>Ireland</v>
      </c>
      <c r="J452" s="2" t="str">
        <f>_xlfn.XLOOKUP(Orders[[#This Row],[Customer ID]],customers!$A$1:$A$1001,customers!$F$1:$F$1001,,0)</f>
        <v>Ballylinan</v>
      </c>
      <c r="K452" t="str">
        <f>INDEX(products!$A$1:$G$49,MATCH(orders!$D452,products!$A$1:$A$49,0),MATCH(orders!K$1,products!$A$1:$G$1,0))</f>
        <v>Lib</v>
      </c>
      <c r="L452" t="str">
        <f>INDEX(products!$A$1:$G$49,MATCH(orders!$D452,products!$A$1:$A$49,0),MATCH(orders!L$1,products!$A$1:$G$1,0))</f>
        <v>L</v>
      </c>
      <c r="M452" s="14">
        <f>INDEX(products!$A$1:$G$49,MATCH(orders!$D452,products!$A$1:$A$49,0),MATCH(orders!M$1,products!$A$1:$G$1,0))</f>
        <v>0.2</v>
      </c>
      <c r="N452" s="4">
        <f>INDEX(products!$A$1:$G$49,MATCH(orders!$D452,products!$A$1:$A$49,0),MATCH(orders!N$1,products!$A$1:$G$1,0))</f>
        <v>4.7549999999999999</v>
      </c>
      <c r="O452" s="13">
        <f t="shared" si="35"/>
        <v>23.774999999999999</v>
      </c>
      <c r="P452" s="13">
        <f>_xlfn.XLOOKUP(Orders[[#This Row],[Product ID]],products!$A$1:$A$49,products!$G$1:$G$49,,0)</f>
        <v>0.61814999999999998</v>
      </c>
      <c r="Q452" s="13">
        <f t="shared" si="36"/>
        <v>3.0907499999999999</v>
      </c>
      <c r="R452" t="str">
        <f t="shared" si="38"/>
        <v>Liberica</v>
      </c>
      <c r="S452" t="str">
        <f t="shared" si="39"/>
        <v>Light</v>
      </c>
      <c r="T452" t="str">
        <f>_xlfn.XLOOKUP(Orders[[#This Row],[Customer ID]],customers!$A$1:$A$1001,customers!$I$1:$I$1001,,0)</f>
        <v>No</v>
      </c>
    </row>
    <row r="453" spans="1:20" x14ac:dyDescent="0.35">
      <c r="A453" s="2" t="s">
        <v>3035</v>
      </c>
      <c r="B453" s="3">
        <v>43518</v>
      </c>
      <c r="C453" s="2" t="s">
        <v>3036</v>
      </c>
      <c r="D453" t="s">
        <v>6149</v>
      </c>
      <c r="E453" t="str">
        <f t="shared" si="37"/>
        <v>Robusta-Dark-2.5</v>
      </c>
      <c r="F453" s="2">
        <v>2</v>
      </c>
      <c r="G453" s="2" t="str" cm="1">
        <f t="array" ref="G453">_xlfn.XLOOKUP(C453, customers!$A$1:A1452,customers!$B$1:B1452,,0)</f>
        <v>Mohandis Spurden</v>
      </c>
      <c r="H453" s="2" t="str" cm="1">
        <f t="array" ref="H453">IF(_xlfn.XLOOKUP(C453,customers!$A$1:A1452,customers!$C$1:C1452,,0) = 0,"", _xlfn.XLOOKUP(C453,customers!$A$1:A1452,customers!$C$1:C1452,,0))</f>
        <v>mspurdencj@exblog.jp</v>
      </c>
      <c r="I453" s="2" t="str">
        <f>_xlfn.XLOOKUP(C453,customers!$A$1:$A$1001,customers!$G$1:$G$1001,,0)</f>
        <v>United States</v>
      </c>
      <c r="J453" s="2" t="str">
        <f>_xlfn.XLOOKUP(Orders[[#This Row],[Customer ID]],customers!$A$1:$A$1001,customers!$F$1:$F$1001,,0)</f>
        <v>Charlotte</v>
      </c>
      <c r="K453" t="str">
        <f>INDEX(products!$A$1:$G$49,MATCH(orders!$D453,products!$A$1:$A$49,0),MATCH(orders!K$1,products!$A$1:$G$1,0))</f>
        <v>Rob</v>
      </c>
      <c r="L453" t="str">
        <f>INDEX(products!$A$1:$G$49,MATCH(orders!$D453,products!$A$1:$A$49,0),MATCH(orders!L$1,products!$A$1:$G$1,0))</f>
        <v>D</v>
      </c>
      <c r="M453" s="14">
        <f>INDEX(products!$A$1:$G$49,MATCH(orders!$D453,products!$A$1:$A$49,0),MATCH(orders!M$1,products!$A$1:$G$1,0))</f>
        <v>2.5</v>
      </c>
      <c r="N453" s="4">
        <f>INDEX(products!$A$1:$G$49,MATCH(orders!$D453,products!$A$1:$A$49,0),MATCH(orders!N$1,products!$A$1:$G$1,0))</f>
        <v>20.584999999999997</v>
      </c>
      <c r="O453" s="13">
        <f t="shared" si="35"/>
        <v>41.169999999999995</v>
      </c>
      <c r="P453" s="13">
        <f>_xlfn.XLOOKUP(Orders[[#This Row],[Product ID]],products!$A$1:$A$49,products!$G$1:$G$49,,0)</f>
        <v>1.2350999999999999</v>
      </c>
      <c r="Q453" s="13">
        <f t="shared" si="36"/>
        <v>2.4701999999999997</v>
      </c>
      <c r="R453" t="str">
        <f t="shared" si="38"/>
        <v>Robusta</v>
      </c>
      <c r="S453" t="str">
        <f t="shared" si="39"/>
        <v>Dark</v>
      </c>
      <c r="T453" t="str">
        <f>_xlfn.XLOOKUP(Orders[[#This Row],[Customer ID]],customers!$A$1:$A$1001,customers!$I$1:$I$1001,,0)</f>
        <v>Yes</v>
      </c>
    </row>
    <row r="454" spans="1:20" x14ac:dyDescent="0.35">
      <c r="A454" s="2" t="s">
        <v>3041</v>
      </c>
      <c r="B454" s="3">
        <v>44524</v>
      </c>
      <c r="C454" s="2" t="s">
        <v>3042</v>
      </c>
      <c r="D454" t="s">
        <v>6167</v>
      </c>
      <c r="E454" t="str">
        <f t="shared" si="37"/>
        <v>Arabica-Light-0.2</v>
      </c>
      <c r="F454" s="2">
        <v>3</v>
      </c>
      <c r="G454" s="2" t="str" cm="1">
        <f t="array" ref="G454">_xlfn.XLOOKUP(C454, customers!$A$1:A1453,customers!$B$1:B1453,,0)</f>
        <v>Morgen Seson</v>
      </c>
      <c r="H454" s="2" t="str" cm="1">
        <f t="array" ref="H454">IF(_xlfn.XLOOKUP(C454,customers!$A$1:A1453,customers!$C$1:C1453,,0) = 0,"", _xlfn.XLOOKUP(C454,customers!$A$1:A1453,customers!$C$1:C1453,,0))</f>
        <v>msesonck@census.gov</v>
      </c>
      <c r="I454" s="2" t="str">
        <f>_xlfn.XLOOKUP(C454,customers!$A$1:$A$1001,customers!$G$1:$G$1001,,0)</f>
        <v>United States</v>
      </c>
      <c r="J454" s="2" t="str">
        <f>_xlfn.XLOOKUP(Orders[[#This Row],[Customer ID]],customers!$A$1:$A$1001,customers!$F$1:$F$1001,,0)</f>
        <v>Seattle</v>
      </c>
      <c r="K454" t="str">
        <f>INDEX(products!$A$1:$G$49,MATCH(orders!$D454,products!$A$1:$A$49,0),MATCH(orders!K$1,products!$A$1:$G$1,0))</f>
        <v>Ara</v>
      </c>
      <c r="L454" t="str">
        <f>INDEX(products!$A$1:$G$49,MATCH(orders!$D454,products!$A$1:$A$49,0),MATCH(orders!L$1,products!$A$1:$G$1,0))</f>
        <v>L</v>
      </c>
      <c r="M454" s="14">
        <f>INDEX(products!$A$1:$G$49,MATCH(orders!$D454,products!$A$1:$A$49,0),MATCH(orders!M$1,products!$A$1:$G$1,0))</f>
        <v>0.2</v>
      </c>
      <c r="N454" s="4">
        <f>INDEX(products!$A$1:$G$49,MATCH(orders!$D454,products!$A$1:$A$49,0),MATCH(orders!N$1,products!$A$1:$G$1,0))</f>
        <v>3.8849999999999998</v>
      </c>
      <c r="O454" s="13">
        <f t="shared" si="35"/>
        <v>11.654999999999999</v>
      </c>
      <c r="P454" s="13">
        <f>_xlfn.XLOOKUP(Orders[[#This Row],[Product ID]],products!$A$1:$A$49,products!$G$1:$G$49,,0)</f>
        <v>0.34964999999999996</v>
      </c>
      <c r="Q454" s="13">
        <f t="shared" si="36"/>
        <v>1.0489499999999998</v>
      </c>
      <c r="R454" t="str">
        <f t="shared" si="38"/>
        <v>Arabica</v>
      </c>
      <c r="S454" t="str">
        <f t="shared" si="39"/>
        <v>Light</v>
      </c>
      <c r="T454" t="str">
        <f>_xlfn.XLOOKUP(Orders[[#This Row],[Customer ID]],customers!$A$1:$A$1001,customers!$I$1:$I$1001,,0)</f>
        <v>No</v>
      </c>
    </row>
    <row r="455" spans="1:20" x14ac:dyDescent="0.35">
      <c r="A455" s="2" t="s">
        <v>3047</v>
      </c>
      <c r="B455" s="3">
        <v>44579</v>
      </c>
      <c r="C455" s="2" t="s">
        <v>3048</v>
      </c>
      <c r="D455" t="s">
        <v>6161</v>
      </c>
      <c r="E455" t="str">
        <f t="shared" si="37"/>
        <v>Liberica-Light-0.5</v>
      </c>
      <c r="F455" s="2">
        <v>4</v>
      </c>
      <c r="G455" s="2" t="str" cm="1">
        <f t="array" ref="G455">_xlfn.XLOOKUP(C455, customers!$A$1:A1454,customers!$B$1:B1454,,0)</f>
        <v>Nalani Pirrone</v>
      </c>
      <c r="H455" s="2" t="str" cm="1">
        <f t="array" ref="H455">IF(_xlfn.XLOOKUP(C455,customers!$A$1:A1454,customers!$C$1:C1454,,0) = 0,"", _xlfn.XLOOKUP(C455,customers!$A$1:A1454,customers!$C$1:C1454,,0))</f>
        <v>npirronecl@weibo.com</v>
      </c>
      <c r="I455" s="2" t="str">
        <f>_xlfn.XLOOKUP(C455,customers!$A$1:$A$1001,customers!$G$1:$G$1001,,0)</f>
        <v>United States</v>
      </c>
      <c r="J455" s="2" t="str">
        <f>_xlfn.XLOOKUP(Orders[[#This Row],[Customer ID]],customers!$A$1:$A$1001,customers!$F$1:$F$1001,,0)</f>
        <v>Wilkes Barre</v>
      </c>
      <c r="K455" t="str">
        <f>INDEX(products!$A$1:$G$49,MATCH(orders!$D455,products!$A$1:$A$49,0),MATCH(orders!K$1,products!$A$1:$G$1,0))</f>
        <v>Lib</v>
      </c>
      <c r="L455" t="str">
        <f>INDEX(products!$A$1:$G$49,MATCH(orders!$D455,products!$A$1:$A$49,0),MATCH(orders!L$1,products!$A$1:$G$1,0))</f>
        <v>L</v>
      </c>
      <c r="M455" s="14">
        <f>INDEX(products!$A$1:$G$49,MATCH(orders!$D455,products!$A$1:$A$49,0),MATCH(orders!M$1,products!$A$1:$G$1,0))</f>
        <v>0.5</v>
      </c>
      <c r="N455" s="4">
        <f>INDEX(products!$A$1:$G$49,MATCH(orders!$D455,products!$A$1:$A$49,0),MATCH(orders!N$1,products!$A$1:$G$1,0))</f>
        <v>9.51</v>
      </c>
      <c r="O455" s="13">
        <f t="shared" si="35"/>
        <v>38.04</v>
      </c>
      <c r="P455" s="13">
        <f>_xlfn.XLOOKUP(Orders[[#This Row],[Product ID]],products!$A$1:$A$49,products!$G$1:$G$49,,0)</f>
        <v>1.2363</v>
      </c>
      <c r="Q455" s="13">
        <f t="shared" si="36"/>
        <v>4.9451999999999998</v>
      </c>
      <c r="R455" t="str">
        <f t="shared" si="38"/>
        <v>Liberica</v>
      </c>
      <c r="S455" t="str">
        <f t="shared" si="39"/>
        <v>Light</v>
      </c>
      <c r="T455" t="str">
        <f>_xlfn.XLOOKUP(Orders[[#This Row],[Customer ID]],customers!$A$1:$A$1001,customers!$I$1:$I$1001,,0)</f>
        <v>No</v>
      </c>
    </row>
    <row r="456" spans="1:20" x14ac:dyDescent="0.35">
      <c r="A456" s="2" t="s">
        <v>3053</v>
      </c>
      <c r="B456" s="3">
        <v>44421</v>
      </c>
      <c r="C456" s="2" t="s">
        <v>3054</v>
      </c>
      <c r="D456" t="s">
        <v>6149</v>
      </c>
      <c r="E456" t="str">
        <f t="shared" si="37"/>
        <v>Robusta-Dark-2.5</v>
      </c>
      <c r="F456" s="2">
        <v>4</v>
      </c>
      <c r="G456" s="2" t="str" cm="1">
        <f t="array" ref="G456">_xlfn.XLOOKUP(C456, customers!$A$1:A1455,customers!$B$1:B1455,,0)</f>
        <v>Reube Cawley</v>
      </c>
      <c r="H456" s="2" t="str" cm="1">
        <f t="array" ref="H456">IF(_xlfn.XLOOKUP(C456,customers!$A$1:A1455,customers!$C$1:C1455,,0) = 0,"", _xlfn.XLOOKUP(C456,customers!$A$1:A1455,customers!$C$1:C1455,,0))</f>
        <v>rcawleycm@yellowbook.com</v>
      </c>
      <c r="I456" s="2" t="str">
        <f>_xlfn.XLOOKUP(C456,customers!$A$1:$A$1001,customers!$G$1:$G$1001,,0)</f>
        <v>Ireland</v>
      </c>
      <c r="J456" s="2" t="str">
        <f>_xlfn.XLOOKUP(Orders[[#This Row],[Customer ID]],customers!$A$1:$A$1001,customers!$F$1:$F$1001,,0)</f>
        <v>Ballyboden</v>
      </c>
      <c r="K456" t="str">
        <f>INDEX(products!$A$1:$G$49,MATCH(orders!$D456,products!$A$1:$A$49,0),MATCH(orders!K$1,products!$A$1:$G$1,0))</f>
        <v>Rob</v>
      </c>
      <c r="L456" t="str">
        <f>INDEX(products!$A$1:$G$49,MATCH(orders!$D456,products!$A$1:$A$49,0),MATCH(orders!L$1,products!$A$1:$G$1,0))</f>
        <v>D</v>
      </c>
      <c r="M456" s="14">
        <f>INDEX(products!$A$1:$G$49,MATCH(orders!$D456,products!$A$1:$A$49,0),MATCH(orders!M$1,products!$A$1:$G$1,0))</f>
        <v>2.5</v>
      </c>
      <c r="N456" s="4">
        <f>INDEX(products!$A$1:$G$49,MATCH(orders!$D456,products!$A$1:$A$49,0),MATCH(orders!N$1,products!$A$1:$G$1,0))</f>
        <v>20.584999999999997</v>
      </c>
      <c r="O456" s="13">
        <f t="shared" si="35"/>
        <v>82.339999999999989</v>
      </c>
      <c r="P456" s="13">
        <f>_xlfn.XLOOKUP(Orders[[#This Row],[Product ID]],products!$A$1:$A$49,products!$G$1:$G$49,,0)</f>
        <v>1.2350999999999999</v>
      </c>
      <c r="Q456" s="13">
        <f t="shared" si="36"/>
        <v>4.9403999999999995</v>
      </c>
      <c r="R456" t="str">
        <f t="shared" si="38"/>
        <v>Robusta</v>
      </c>
      <c r="S456" t="str">
        <f t="shared" si="39"/>
        <v>Dark</v>
      </c>
      <c r="T456" t="str">
        <f>_xlfn.XLOOKUP(Orders[[#This Row],[Customer ID]],customers!$A$1:$A$1001,customers!$I$1:$I$1001,,0)</f>
        <v>Yes</v>
      </c>
    </row>
    <row r="457" spans="1:20" x14ac:dyDescent="0.35">
      <c r="A457" s="2" t="s">
        <v>3058</v>
      </c>
      <c r="B457" s="3">
        <v>43841</v>
      </c>
      <c r="C457" s="2" t="s">
        <v>3059</v>
      </c>
      <c r="D457" t="s">
        <v>6145</v>
      </c>
      <c r="E457" t="str">
        <f t="shared" si="37"/>
        <v>Liberica-Light-0.2</v>
      </c>
      <c r="F457" s="2">
        <v>2</v>
      </c>
      <c r="G457" s="2" t="str" cm="1">
        <f t="array" ref="G457">_xlfn.XLOOKUP(C457, customers!$A$1:A1456,customers!$B$1:B1456,,0)</f>
        <v>Stan Barribal</v>
      </c>
      <c r="H457" s="2" t="str" cm="1">
        <f t="array" ref="H457">IF(_xlfn.XLOOKUP(C457,customers!$A$1:A1456,customers!$C$1:C1456,,0) = 0,"", _xlfn.XLOOKUP(C457,customers!$A$1:A1456,customers!$C$1:C1456,,0))</f>
        <v>sbarribalcn@microsoft.com</v>
      </c>
      <c r="I457" s="2" t="str">
        <f>_xlfn.XLOOKUP(C457,customers!$A$1:$A$1001,customers!$G$1:$G$1001,,0)</f>
        <v>Ireland</v>
      </c>
      <c r="J457" s="2" t="str">
        <f>_xlfn.XLOOKUP(Orders[[#This Row],[Customer ID]],customers!$A$1:$A$1001,customers!$F$1:$F$1001,,0)</f>
        <v>Bagenalstown</v>
      </c>
      <c r="K457" t="str">
        <f>INDEX(products!$A$1:$G$49,MATCH(orders!$D457,products!$A$1:$A$49,0),MATCH(orders!K$1,products!$A$1:$G$1,0))</f>
        <v>Lib</v>
      </c>
      <c r="L457" t="str">
        <f>INDEX(products!$A$1:$G$49,MATCH(orders!$D457,products!$A$1:$A$49,0),MATCH(orders!L$1,products!$A$1:$G$1,0))</f>
        <v>L</v>
      </c>
      <c r="M457" s="14">
        <f>INDEX(products!$A$1:$G$49,MATCH(orders!$D457,products!$A$1:$A$49,0),MATCH(orders!M$1,products!$A$1:$G$1,0))</f>
        <v>0.2</v>
      </c>
      <c r="N457" s="4">
        <f>INDEX(products!$A$1:$G$49,MATCH(orders!$D457,products!$A$1:$A$49,0),MATCH(orders!N$1,products!$A$1:$G$1,0))</f>
        <v>4.7549999999999999</v>
      </c>
      <c r="O457" s="13">
        <f t="shared" si="35"/>
        <v>9.51</v>
      </c>
      <c r="P457" s="13">
        <f>_xlfn.XLOOKUP(Orders[[#This Row],[Product ID]],products!$A$1:$A$49,products!$G$1:$G$49,,0)</f>
        <v>0.61814999999999998</v>
      </c>
      <c r="Q457" s="13">
        <f t="shared" si="36"/>
        <v>1.2363</v>
      </c>
      <c r="R457" t="str">
        <f t="shared" si="38"/>
        <v>Liberica</v>
      </c>
      <c r="S457" t="str">
        <f t="shared" si="39"/>
        <v>Light</v>
      </c>
      <c r="T457" t="str">
        <f>_xlfn.XLOOKUP(Orders[[#This Row],[Customer ID]],customers!$A$1:$A$1001,customers!$I$1:$I$1001,,0)</f>
        <v>Yes</v>
      </c>
    </row>
    <row r="458" spans="1:20" x14ac:dyDescent="0.35">
      <c r="A458" s="2" t="s">
        <v>3064</v>
      </c>
      <c r="B458" s="3">
        <v>44017</v>
      </c>
      <c r="C458" s="2" t="s">
        <v>3065</v>
      </c>
      <c r="D458" t="s">
        <v>6149</v>
      </c>
      <c r="E458" t="str">
        <f t="shared" si="37"/>
        <v>Robusta-Dark-2.5</v>
      </c>
      <c r="F458" s="2">
        <v>2</v>
      </c>
      <c r="G458" s="2" t="str" cm="1">
        <f t="array" ref="G458">_xlfn.XLOOKUP(C458, customers!$A$1:A1457,customers!$B$1:B1457,,0)</f>
        <v>Agnes Adamides</v>
      </c>
      <c r="H458" s="2" t="str" cm="1">
        <f t="array" ref="H458">IF(_xlfn.XLOOKUP(C458,customers!$A$1:A1457,customers!$C$1:C1457,,0) = 0,"", _xlfn.XLOOKUP(C458,customers!$A$1:A1457,customers!$C$1:C1457,,0))</f>
        <v>aadamidesco@bizjournals.com</v>
      </c>
      <c r="I458" s="2" t="str">
        <f>_xlfn.XLOOKUP(C458,customers!$A$1:$A$1001,customers!$G$1:$G$1001,,0)</f>
        <v>United Kingdom</v>
      </c>
      <c r="J458" s="2" t="str">
        <f>_xlfn.XLOOKUP(Orders[[#This Row],[Customer ID]],customers!$A$1:$A$1001,customers!$F$1:$F$1001,,0)</f>
        <v>Liverpool</v>
      </c>
      <c r="K458" t="str">
        <f>INDEX(products!$A$1:$G$49,MATCH(orders!$D458,products!$A$1:$A$49,0),MATCH(orders!K$1,products!$A$1:$G$1,0))</f>
        <v>Rob</v>
      </c>
      <c r="L458" t="str">
        <f>INDEX(products!$A$1:$G$49,MATCH(orders!$D458,products!$A$1:$A$49,0),MATCH(orders!L$1,products!$A$1:$G$1,0))</f>
        <v>D</v>
      </c>
      <c r="M458" s="14">
        <f>INDEX(products!$A$1:$G$49,MATCH(orders!$D458,products!$A$1:$A$49,0),MATCH(orders!M$1,products!$A$1:$G$1,0))</f>
        <v>2.5</v>
      </c>
      <c r="N458" s="4">
        <f>INDEX(products!$A$1:$G$49,MATCH(orders!$D458,products!$A$1:$A$49,0),MATCH(orders!N$1,products!$A$1:$G$1,0))</f>
        <v>20.584999999999997</v>
      </c>
      <c r="O458" s="13">
        <f t="shared" si="35"/>
        <v>41.169999999999995</v>
      </c>
      <c r="P458" s="13">
        <f>_xlfn.XLOOKUP(Orders[[#This Row],[Product ID]],products!$A$1:$A$49,products!$G$1:$G$49,,0)</f>
        <v>1.2350999999999999</v>
      </c>
      <c r="Q458" s="13">
        <f t="shared" si="36"/>
        <v>2.4701999999999997</v>
      </c>
      <c r="R458" t="str">
        <f t="shared" si="38"/>
        <v>Robusta</v>
      </c>
      <c r="S458" t="str">
        <f t="shared" si="39"/>
        <v>Dark</v>
      </c>
      <c r="T458" t="str">
        <f>_xlfn.XLOOKUP(Orders[[#This Row],[Customer ID]],customers!$A$1:$A$1001,customers!$I$1:$I$1001,,0)</f>
        <v>No</v>
      </c>
    </row>
    <row r="459" spans="1:20" x14ac:dyDescent="0.35">
      <c r="A459" s="2" t="s">
        <v>3070</v>
      </c>
      <c r="B459" s="3">
        <v>43671</v>
      </c>
      <c r="C459" s="2" t="s">
        <v>3071</v>
      </c>
      <c r="D459" t="s">
        <v>6161</v>
      </c>
      <c r="E459" t="str">
        <f t="shared" si="37"/>
        <v>Liberica-Light-0.5</v>
      </c>
      <c r="F459" s="2">
        <v>5</v>
      </c>
      <c r="G459" s="2" t="str" cm="1">
        <f t="array" ref="G459">_xlfn.XLOOKUP(C459, customers!$A$1:A1458,customers!$B$1:B1458,,0)</f>
        <v>Carmelita Thowes</v>
      </c>
      <c r="H459" s="2" t="str" cm="1">
        <f t="array" ref="H459">IF(_xlfn.XLOOKUP(C459,customers!$A$1:A1458,customers!$C$1:C1458,,0) = 0,"", _xlfn.XLOOKUP(C459,customers!$A$1:A1458,customers!$C$1:C1458,,0))</f>
        <v>cthowescp@craigslist.org</v>
      </c>
      <c r="I459" s="2" t="str">
        <f>_xlfn.XLOOKUP(C459,customers!$A$1:$A$1001,customers!$G$1:$G$1001,,0)</f>
        <v>United States</v>
      </c>
      <c r="J459" s="2" t="str">
        <f>_xlfn.XLOOKUP(Orders[[#This Row],[Customer ID]],customers!$A$1:$A$1001,customers!$F$1:$F$1001,,0)</f>
        <v>Rochester</v>
      </c>
      <c r="K459" t="str">
        <f>INDEX(products!$A$1:$G$49,MATCH(orders!$D459,products!$A$1:$A$49,0),MATCH(orders!K$1,products!$A$1:$G$1,0))</f>
        <v>Lib</v>
      </c>
      <c r="L459" t="str">
        <f>INDEX(products!$A$1:$G$49,MATCH(orders!$D459,products!$A$1:$A$49,0),MATCH(orders!L$1,products!$A$1:$G$1,0))</f>
        <v>L</v>
      </c>
      <c r="M459" s="14">
        <f>INDEX(products!$A$1:$G$49,MATCH(orders!$D459,products!$A$1:$A$49,0),MATCH(orders!M$1,products!$A$1:$G$1,0))</f>
        <v>0.5</v>
      </c>
      <c r="N459" s="4">
        <f>INDEX(products!$A$1:$G$49,MATCH(orders!$D459,products!$A$1:$A$49,0),MATCH(orders!N$1,products!$A$1:$G$1,0))</f>
        <v>9.51</v>
      </c>
      <c r="O459" s="13">
        <f t="shared" si="35"/>
        <v>47.55</v>
      </c>
      <c r="P459" s="13">
        <f>_xlfn.XLOOKUP(Orders[[#This Row],[Product ID]],products!$A$1:$A$49,products!$G$1:$G$49,,0)</f>
        <v>1.2363</v>
      </c>
      <c r="Q459" s="13">
        <f t="shared" si="36"/>
        <v>6.1814999999999998</v>
      </c>
      <c r="R459" t="str">
        <f t="shared" si="38"/>
        <v>Liberica</v>
      </c>
      <c r="S459" t="str">
        <f t="shared" si="39"/>
        <v>Light</v>
      </c>
      <c r="T459" t="str">
        <f>_xlfn.XLOOKUP(Orders[[#This Row],[Customer ID]],customers!$A$1:$A$1001,customers!$I$1:$I$1001,,0)</f>
        <v>No</v>
      </c>
    </row>
    <row r="460" spans="1:20" x14ac:dyDescent="0.35">
      <c r="A460" s="2" t="s">
        <v>3076</v>
      </c>
      <c r="B460" s="3">
        <v>44707</v>
      </c>
      <c r="C460" s="2" t="s">
        <v>3077</v>
      </c>
      <c r="D460" t="s">
        <v>6155</v>
      </c>
      <c r="E460" t="str">
        <f t="shared" si="37"/>
        <v>Arabica-Medium-1</v>
      </c>
      <c r="F460" s="2">
        <v>4</v>
      </c>
      <c r="G460" s="2" t="str" cm="1">
        <f t="array" ref="G460">_xlfn.XLOOKUP(C460, customers!$A$1:A1459,customers!$B$1:B1459,,0)</f>
        <v>Rodolfo Willoway</v>
      </c>
      <c r="H460" s="2" t="str" cm="1">
        <f t="array" ref="H460">IF(_xlfn.XLOOKUP(C460,customers!$A$1:A1459,customers!$C$1:C1459,,0) = 0,"", _xlfn.XLOOKUP(C460,customers!$A$1:A1459,customers!$C$1:C1459,,0))</f>
        <v>rwillowaycq@admin.ch</v>
      </c>
      <c r="I460" s="2" t="str">
        <f>_xlfn.XLOOKUP(C460,customers!$A$1:$A$1001,customers!$G$1:$G$1001,,0)</f>
        <v>United States</v>
      </c>
      <c r="J460" s="2" t="str">
        <f>_xlfn.XLOOKUP(Orders[[#This Row],[Customer ID]],customers!$A$1:$A$1001,customers!$F$1:$F$1001,,0)</f>
        <v>Tucson</v>
      </c>
      <c r="K460" t="str">
        <f>INDEX(products!$A$1:$G$49,MATCH(orders!$D460,products!$A$1:$A$49,0),MATCH(orders!K$1,products!$A$1:$G$1,0))</f>
        <v>Ara</v>
      </c>
      <c r="L460" t="str">
        <f>INDEX(products!$A$1:$G$49,MATCH(orders!$D460,products!$A$1:$A$49,0),MATCH(orders!L$1,products!$A$1:$G$1,0))</f>
        <v>M</v>
      </c>
      <c r="M460" s="14">
        <f>INDEX(products!$A$1:$G$49,MATCH(orders!$D460,products!$A$1:$A$49,0),MATCH(orders!M$1,products!$A$1:$G$1,0))</f>
        <v>1</v>
      </c>
      <c r="N460" s="4">
        <f>INDEX(products!$A$1:$G$49,MATCH(orders!$D460,products!$A$1:$A$49,0),MATCH(orders!N$1,products!$A$1:$G$1,0))</f>
        <v>11.25</v>
      </c>
      <c r="O460" s="13">
        <f t="shared" si="35"/>
        <v>45</v>
      </c>
      <c r="P460" s="13">
        <f>_xlfn.XLOOKUP(Orders[[#This Row],[Product ID]],products!$A$1:$A$49,products!$G$1:$G$49,,0)</f>
        <v>1.0125</v>
      </c>
      <c r="Q460" s="13">
        <f t="shared" si="36"/>
        <v>4.05</v>
      </c>
      <c r="R460" t="str">
        <f t="shared" si="38"/>
        <v>Arabica</v>
      </c>
      <c r="S460" t="str">
        <f t="shared" si="39"/>
        <v>Medium</v>
      </c>
      <c r="T460" t="str">
        <f>_xlfn.XLOOKUP(Orders[[#This Row],[Customer ID]],customers!$A$1:$A$1001,customers!$I$1:$I$1001,,0)</f>
        <v>No</v>
      </c>
    </row>
    <row r="461" spans="1:20" x14ac:dyDescent="0.35">
      <c r="A461" s="2" t="s">
        <v>3082</v>
      </c>
      <c r="B461" s="3">
        <v>43840</v>
      </c>
      <c r="C461" s="2" t="s">
        <v>3083</v>
      </c>
      <c r="D461" t="s">
        <v>6145</v>
      </c>
      <c r="E461" t="str">
        <f t="shared" si="37"/>
        <v>Liberica-Light-0.2</v>
      </c>
      <c r="F461" s="2">
        <v>5</v>
      </c>
      <c r="G461" s="2" t="str" cm="1">
        <f t="array" ref="G461">_xlfn.XLOOKUP(C461, customers!$A$1:A1460,customers!$B$1:B1460,,0)</f>
        <v>Alvis Elwin</v>
      </c>
      <c r="H461" s="2" t="str" cm="1">
        <f t="array" ref="H461">IF(_xlfn.XLOOKUP(C461,customers!$A$1:A1460,customers!$C$1:C1460,,0) = 0,"", _xlfn.XLOOKUP(C461,customers!$A$1:A1460,customers!$C$1:C1460,,0))</f>
        <v>aelwincr@privacy.gov.au</v>
      </c>
      <c r="I461" s="2" t="str">
        <f>_xlfn.XLOOKUP(C461,customers!$A$1:$A$1001,customers!$G$1:$G$1001,,0)</f>
        <v>United States</v>
      </c>
      <c r="J461" s="2" t="str">
        <f>_xlfn.XLOOKUP(Orders[[#This Row],[Customer ID]],customers!$A$1:$A$1001,customers!$F$1:$F$1001,,0)</f>
        <v>Minneapolis</v>
      </c>
      <c r="K461" t="str">
        <f>INDEX(products!$A$1:$G$49,MATCH(orders!$D461,products!$A$1:$A$49,0),MATCH(orders!K$1,products!$A$1:$G$1,0))</f>
        <v>Lib</v>
      </c>
      <c r="L461" t="str">
        <f>INDEX(products!$A$1:$G$49,MATCH(orders!$D461,products!$A$1:$A$49,0),MATCH(orders!L$1,products!$A$1:$G$1,0))</f>
        <v>L</v>
      </c>
      <c r="M461" s="14">
        <f>INDEX(products!$A$1:$G$49,MATCH(orders!$D461,products!$A$1:$A$49,0),MATCH(orders!M$1,products!$A$1:$G$1,0))</f>
        <v>0.2</v>
      </c>
      <c r="N461" s="4">
        <f>INDEX(products!$A$1:$G$49,MATCH(orders!$D461,products!$A$1:$A$49,0),MATCH(orders!N$1,products!$A$1:$G$1,0))</f>
        <v>4.7549999999999999</v>
      </c>
      <c r="O461" s="13">
        <f t="shared" si="35"/>
        <v>23.774999999999999</v>
      </c>
      <c r="P461" s="13">
        <f>_xlfn.XLOOKUP(Orders[[#This Row],[Product ID]],products!$A$1:$A$49,products!$G$1:$G$49,,0)</f>
        <v>0.61814999999999998</v>
      </c>
      <c r="Q461" s="13">
        <f t="shared" si="36"/>
        <v>3.0907499999999999</v>
      </c>
      <c r="R461" t="str">
        <f t="shared" si="38"/>
        <v>Liberica</v>
      </c>
      <c r="S461" t="str">
        <f t="shared" si="39"/>
        <v>Light</v>
      </c>
      <c r="T461" t="str">
        <f>_xlfn.XLOOKUP(Orders[[#This Row],[Customer ID]],customers!$A$1:$A$1001,customers!$I$1:$I$1001,,0)</f>
        <v>No</v>
      </c>
    </row>
    <row r="462" spans="1:20" x14ac:dyDescent="0.35">
      <c r="A462" s="2" t="s">
        <v>3088</v>
      </c>
      <c r="B462" s="3">
        <v>43602</v>
      </c>
      <c r="C462" s="2" t="s">
        <v>3089</v>
      </c>
      <c r="D462" t="s">
        <v>6172</v>
      </c>
      <c r="E462" t="str">
        <f t="shared" si="37"/>
        <v>Robusta-Dark-0.5</v>
      </c>
      <c r="F462" s="2">
        <v>3</v>
      </c>
      <c r="G462" s="2" t="str" cm="1">
        <f t="array" ref="G462">_xlfn.XLOOKUP(C462, customers!$A$1:A1461,customers!$B$1:B1461,,0)</f>
        <v>Araldo Bilbrook</v>
      </c>
      <c r="H462" s="2" t="str" cm="1">
        <f t="array" ref="H462">IF(_xlfn.XLOOKUP(C462,customers!$A$1:A1461,customers!$C$1:C1461,,0) = 0,"", _xlfn.XLOOKUP(C462,customers!$A$1:A1461,customers!$C$1:C1461,,0))</f>
        <v>abilbrookcs@booking.com</v>
      </c>
      <c r="I462" s="2" t="str">
        <f>_xlfn.XLOOKUP(C462,customers!$A$1:$A$1001,customers!$G$1:$G$1001,,0)</f>
        <v>Ireland</v>
      </c>
      <c r="J462" s="2" t="str">
        <f>_xlfn.XLOOKUP(Orders[[#This Row],[Customer ID]],customers!$A$1:$A$1001,customers!$F$1:$F$1001,,0)</f>
        <v>Ashbourne</v>
      </c>
      <c r="K462" t="str">
        <f>INDEX(products!$A$1:$G$49,MATCH(orders!$D462,products!$A$1:$A$49,0),MATCH(orders!K$1,products!$A$1:$G$1,0))</f>
        <v>Rob</v>
      </c>
      <c r="L462" t="str">
        <f>INDEX(products!$A$1:$G$49,MATCH(orders!$D462,products!$A$1:$A$49,0),MATCH(orders!L$1,products!$A$1:$G$1,0))</f>
        <v>D</v>
      </c>
      <c r="M462" s="14">
        <f>INDEX(products!$A$1:$G$49,MATCH(orders!$D462,products!$A$1:$A$49,0),MATCH(orders!M$1,products!$A$1:$G$1,0))</f>
        <v>0.5</v>
      </c>
      <c r="N462" s="4">
        <f>INDEX(products!$A$1:$G$49,MATCH(orders!$D462,products!$A$1:$A$49,0),MATCH(orders!N$1,products!$A$1:$G$1,0))</f>
        <v>5.3699999999999992</v>
      </c>
      <c r="O462" s="13">
        <f t="shared" si="35"/>
        <v>16.11</v>
      </c>
      <c r="P462" s="13">
        <f>_xlfn.XLOOKUP(Orders[[#This Row],[Product ID]],products!$A$1:$A$49,products!$G$1:$G$49,,0)</f>
        <v>0.32219999999999993</v>
      </c>
      <c r="Q462" s="13">
        <f t="shared" si="36"/>
        <v>0.96659999999999979</v>
      </c>
      <c r="R462" t="str">
        <f t="shared" si="38"/>
        <v>Robusta</v>
      </c>
      <c r="S462" t="str">
        <f t="shared" si="39"/>
        <v>Dark</v>
      </c>
      <c r="T462" t="str">
        <f>_xlfn.XLOOKUP(Orders[[#This Row],[Customer ID]],customers!$A$1:$A$1001,customers!$I$1:$I$1001,,0)</f>
        <v>Yes</v>
      </c>
    </row>
    <row r="463" spans="1:20" x14ac:dyDescent="0.35">
      <c r="A463" s="2" t="s">
        <v>3094</v>
      </c>
      <c r="B463" s="3">
        <v>44036</v>
      </c>
      <c r="C463" s="2" t="s">
        <v>3095</v>
      </c>
      <c r="D463" t="s">
        <v>6163</v>
      </c>
      <c r="E463" t="str">
        <f t="shared" si="37"/>
        <v>Robusta-Dark-0.2</v>
      </c>
      <c r="F463" s="2">
        <v>4</v>
      </c>
      <c r="G463" s="2" t="str" cm="1">
        <f t="array" ref="G463">_xlfn.XLOOKUP(C463, customers!$A$1:A1462,customers!$B$1:B1462,,0)</f>
        <v>Ransell McKall</v>
      </c>
      <c r="H463" s="2" t="str" cm="1">
        <f t="array" ref="H463">IF(_xlfn.XLOOKUP(C463,customers!$A$1:A1462,customers!$C$1:C1462,,0) = 0,"", _xlfn.XLOOKUP(C463,customers!$A$1:A1462,customers!$C$1:C1462,,0))</f>
        <v>rmckallct@sakura.ne.jp</v>
      </c>
      <c r="I463" s="2" t="str">
        <f>_xlfn.XLOOKUP(C463,customers!$A$1:$A$1001,customers!$G$1:$G$1001,,0)</f>
        <v>United Kingdom</v>
      </c>
      <c r="J463" s="2" t="str">
        <f>_xlfn.XLOOKUP(Orders[[#This Row],[Customer ID]],customers!$A$1:$A$1001,customers!$F$1:$F$1001,,0)</f>
        <v>Bristol</v>
      </c>
      <c r="K463" t="str">
        <f>INDEX(products!$A$1:$G$49,MATCH(orders!$D463,products!$A$1:$A$49,0),MATCH(orders!K$1,products!$A$1:$G$1,0))</f>
        <v>Rob</v>
      </c>
      <c r="L463" t="str">
        <f>INDEX(products!$A$1:$G$49,MATCH(orders!$D463,products!$A$1:$A$49,0),MATCH(orders!L$1,products!$A$1:$G$1,0))</f>
        <v>D</v>
      </c>
      <c r="M463" s="14">
        <f>INDEX(products!$A$1:$G$49,MATCH(orders!$D463,products!$A$1:$A$49,0),MATCH(orders!M$1,products!$A$1:$G$1,0))</f>
        <v>0.2</v>
      </c>
      <c r="N463" s="4">
        <f>INDEX(products!$A$1:$G$49,MATCH(orders!$D463,products!$A$1:$A$49,0),MATCH(orders!N$1,products!$A$1:$G$1,0))</f>
        <v>2.6849999999999996</v>
      </c>
      <c r="O463" s="13">
        <f t="shared" si="35"/>
        <v>10.739999999999998</v>
      </c>
      <c r="P463" s="13">
        <f>_xlfn.XLOOKUP(Orders[[#This Row],[Product ID]],products!$A$1:$A$49,products!$G$1:$G$49,,0)</f>
        <v>0.16109999999999997</v>
      </c>
      <c r="Q463" s="13">
        <f t="shared" si="36"/>
        <v>0.64439999999999986</v>
      </c>
      <c r="R463" t="str">
        <f t="shared" si="38"/>
        <v>Robusta</v>
      </c>
      <c r="S463" t="str">
        <f t="shared" si="39"/>
        <v>Dark</v>
      </c>
      <c r="T463" t="str">
        <f>_xlfn.XLOOKUP(Orders[[#This Row],[Customer ID]],customers!$A$1:$A$1001,customers!$I$1:$I$1001,,0)</f>
        <v>Yes</v>
      </c>
    </row>
    <row r="464" spans="1:20" x14ac:dyDescent="0.35">
      <c r="A464" s="2" t="s">
        <v>3100</v>
      </c>
      <c r="B464" s="3">
        <v>44124</v>
      </c>
      <c r="C464" s="2" t="s">
        <v>3101</v>
      </c>
      <c r="D464" t="s">
        <v>6147</v>
      </c>
      <c r="E464" t="str">
        <f t="shared" si="37"/>
        <v>Arabica-Dark-1</v>
      </c>
      <c r="F464" s="2">
        <v>5</v>
      </c>
      <c r="G464" s="2" t="str" cm="1">
        <f t="array" ref="G464">_xlfn.XLOOKUP(C464, customers!$A$1:A1463,customers!$B$1:B1463,,0)</f>
        <v>Borg Daile</v>
      </c>
      <c r="H464" s="2" t="str" cm="1">
        <f t="array" ref="H464">IF(_xlfn.XLOOKUP(C464,customers!$A$1:A1463,customers!$C$1:C1463,,0) = 0,"", _xlfn.XLOOKUP(C464,customers!$A$1:A1463,customers!$C$1:C1463,,0))</f>
        <v>bdailecu@vistaprint.com</v>
      </c>
      <c r="I464" s="2" t="str">
        <f>_xlfn.XLOOKUP(C464,customers!$A$1:$A$1001,customers!$G$1:$G$1001,,0)</f>
        <v>United States</v>
      </c>
      <c r="J464" s="2" t="str">
        <f>_xlfn.XLOOKUP(Orders[[#This Row],[Customer ID]],customers!$A$1:$A$1001,customers!$F$1:$F$1001,,0)</f>
        <v>Atlanta</v>
      </c>
      <c r="K464" t="str">
        <f>INDEX(products!$A$1:$G$49,MATCH(orders!$D464,products!$A$1:$A$49,0),MATCH(orders!K$1,products!$A$1:$G$1,0))</f>
        <v>Ara</v>
      </c>
      <c r="L464" t="str">
        <f>INDEX(products!$A$1:$G$49,MATCH(orders!$D464,products!$A$1:$A$49,0),MATCH(orders!L$1,products!$A$1:$G$1,0))</f>
        <v>D</v>
      </c>
      <c r="M464" s="14">
        <f>INDEX(products!$A$1:$G$49,MATCH(orders!$D464,products!$A$1:$A$49,0),MATCH(orders!M$1,products!$A$1:$G$1,0))</f>
        <v>1</v>
      </c>
      <c r="N464" s="4">
        <f>INDEX(products!$A$1:$G$49,MATCH(orders!$D464,products!$A$1:$A$49,0),MATCH(orders!N$1,products!$A$1:$G$1,0))</f>
        <v>9.9499999999999993</v>
      </c>
      <c r="O464" s="13">
        <f t="shared" si="35"/>
        <v>49.75</v>
      </c>
      <c r="P464" s="13">
        <f>_xlfn.XLOOKUP(Orders[[#This Row],[Product ID]],products!$A$1:$A$49,products!$G$1:$G$49,,0)</f>
        <v>0.89549999999999985</v>
      </c>
      <c r="Q464" s="13">
        <f t="shared" si="36"/>
        <v>4.4774999999999991</v>
      </c>
      <c r="R464" t="str">
        <f t="shared" si="38"/>
        <v>Arabica</v>
      </c>
      <c r="S464" t="str">
        <f t="shared" si="39"/>
        <v>Dark</v>
      </c>
      <c r="T464" t="str">
        <f>_xlfn.XLOOKUP(Orders[[#This Row],[Customer ID]],customers!$A$1:$A$1001,customers!$I$1:$I$1001,,0)</f>
        <v>Yes</v>
      </c>
    </row>
    <row r="465" spans="1:20" x14ac:dyDescent="0.35">
      <c r="A465" s="2" t="s">
        <v>3106</v>
      </c>
      <c r="B465" s="3">
        <v>43730</v>
      </c>
      <c r="C465" s="2" t="s">
        <v>3107</v>
      </c>
      <c r="D465" t="s">
        <v>6141</v>
      </c>
      <c r="E465" t="str">
        <f t="shared" si="37"/>
        <v>Excelsa-Medium-1</v>
      </c>
      <c r="F465" s="2">
        <v>2</v>
      </c>
      <c r="G465" s="2" t="str" cm="1">
        <f t="array" ref="G465">_xlfn.XLOOKUP(C465, customers!$A$1:A1464,customers!$B$1:B1464,,0)</f>
        <v>Adolphe Treherne</v>
      </c>
      <c r="H465" s="2" t="str" cm="1">
        <f t="array" ref="H465">IF(_xlfn.XLOOKUP(C465,customers!$A$1:A1464,customers!$C$1:C1464,,0) = 0,"", _xlfn.XLOOKUP(C465,customers!$A$1:A1464,customers!$C$1:C1464,,0))</f>
        <v>atrehernecv@state.tx.us</v>
      </c>
      <c r="I465" s="2" t="str">
        <f>_xlfn.XLOOKUP(C465,customers!$A$1:$A$1001,customers!$G$1:$G$1001,,0)</f>
        <v>Ireland</v>
      </c>
      <c r="J465" s="2" t="str">
        <f>_xlfn.XLOOKUP(Orders[[#This Row],[Customer ID]],customers!$A$1:$A$1001,customers!$F$1:$F$1001,,0)</f>
        <v>Farranacoush</v>
      </c>
      <c r="K465" t="str">
        <f>INDEX(products!$A$1:$G$49,MATCH(orders!$D465,products!$A$1:$A$49,0),MATCH(orders!K$1,products!$A$1:$G$1,0))</f>
        <v>Exc</v>
      </c>
      <c r="L465" t="str">
        <f>INDEX(products!$A$1:$G$49,MATCH(orders!$D465,products!$A$1:$A$49,0),MATCH(orders!L$1,products!$A$1:$G$1,0))</f>
        <v>M</v>
      </c>
      <c r="M465" s="14">
        <f>INDEX(products!$A$1:$G$49,MATCH(orders!$D465,products!$A$1:$A$49,0),MATCH(orders!M$1,products!$A$1:$G$1,0))</f>
        <v>1</v>
      </c>
      <c r="N465" s="4">
        <f>INDEX(products!$A$1:$G$49,MATCH(orders!$D465,products!$A$1:$A$49,0),MATCH(orders!N$1,products!$A$1:$G$1,0))</f>
        <v>13.75</v>
      </c>
      <c r="O465" s="13">
        <f t="shared" si="35"/>
        <v>27.5</v>
      </c>
      <c r="P465" s="13">
        <f>_xlfn.XLOOKUP(Orders[[#This Row],[Product ID]],products!$A$1:$A$49,products!$G$1:$G$49,,0)</f>
        <v>1.5125</v>
      </c>
      <c r="Q465" s="13">
        <f t="shared" si="36"/>
        <v>3.0249999999999999</v>
      </c>
      <c r="R465" t="str">
        <f t="shared" si="38"/>
        <v>Execelsa</v>
      </c>
      <c r="S465" t="str">
        <f t="shared" si="39"/>
        <v>Medium</v>
      </c>
      <c r="T465" t="str">
        <f>_xlfn.XLOOKUP(Orders[[#This Row],[Customer ID]],customers!$A$1:$A$1001,customers!$I$1:$I$1001,,0)</f>
        <v>No</v>
      </c>
    </row>
    <row r="466" spans="1:20" x14ac:dyDescent="0.35">
      <c r="A466" s="2" t="s">
        <v>3112</v>
      </c>
      <c r="B466" s="3">
        <v>43989</v>
      </c>
      <c r="C466" s="2" t="s">
        <v>3113</v>
      </c>
      <c r="D466" t="s">
        <v>6165</v>
      </c>
      <c r="E466" t="str">
        <f t="shared" si="37"/>
        <v>Liberica-Dark-2.5</v>
      </c>
      <c r="F466" s="2">
        <v>4</v>
      </c>
      <c r="G466" s="2" t="str" cm="1">
        <f t="array" ref="G466">_xlfn.XLOOKUP(C466, customers!$A$1:A1465,customers!$B$1:B1465,,0)</f>
        <v>Annetta Brentnall</v>
      </c>
      <c r="H466" s="2" t="str" cm="1">
        <f t="array" ref="H466">IF(_xlfn.XLOOKUP(C466,customers!$A$1:A1465,customers!$C$1:C1465,,0) = 0,"", _xlfn.XLOOKUP(C466,customers!$A$1:A1465,customers!$C$1:C1465,,0))</f>
        <v>abrentnallcw@biglobe.ne.jp</v>
      </c>
      <c r="I466" s="2" t="str">
        <f>_xlfn.XLOOKUP(C466,customers!$A$1:$A$1001,customers!$G$1:$G$1001,,0)</f>
        <v>United Kingdom</v>
      </c>
      <c r="J466" s="2" t="str">
        <f>_xlfn.XLOOKUP(Orders[[#This Row],[Customer ID]],customers!$A$1:$A$1001,customers!$F$1:$F$1001,,0)</f>
        <v>East End</v>
      </c>
      <c r="K466" t="str">
        <f>INDEX(products!$A$1:$G$49,MATCH(orders!$D466,products!$A$1:$A$49,0),MATCH(orders!K$1,products!$A$1:$G$1,0))</f>
        <v>Lib</v>
      </c>
      <c r="L466" t="str">
        <f>INDEX(products!$A$1:$G$49,MATCH(orders!$D466,products!$A$1:$A$49,0),MATCH(orders!L$1,products!$A$1:$G$1,0))</f>
        <v>D</v>
      </c>
      <c r="M466" s="14">
        <f>INDEX(products!$A$1:$G$49,MATCH(orders!$D466,products!$A$1:$A$49,0),MATCH(orders!M$1,products!$A$1:$G$1,0))</f>
        <v>2.5</v>
      </c>
      <c r="N466" s="4">
        <f>INDEX(products!$A$1:$G$49,MATCH(orders!$D466,products!$A$1:$A$49,0),MATCH(orders!N$1,products!$A$1:$G$1,0))</f>
        <v>29.784999999999997</v>
      </c>
      <c r="O466" s="13">
        <f t="shared" si="35"/>
        <v>119.13999999999999</v>
      </c>
      <c r="P466" s="13">
        <f>_xlfn.XLOOKUP(Orders[[#This Row],[Product ID]],products!$A$1:$A$49,products!$G$1:$G$49,,0)</f>
        <v>3.8720499999999998</v>
      </c>
      <c r="Q466" s="13">
        <f t="shared" si="36"/>
        <v>15.488199999999999</v>
      </c>
      <c r="R466" t="str">
        <f t="shared" si="38"/>
        <v>Liberica</v>
      </c>
      <c r="S466" t="str">
        <f t="shared" si="39"/>
        <v>Dark</v>
      </c>
      <c r="T466" t="str">
        <f>_xlfn.XLOOKUP(Orders[[#This Row],[Customer ID]],customers!$A$1:$A$1001,customers!$I$1:$I$1001,,0)</f>
        <v>No</v>
      </c>
    </row>
    <row r="467" spans="1:20" x14ac:dyDescent="0.35">
      <c r="A467" s="2" t="s">
        <v>3118</v>
      </c>
      <c r="B467" s="3">
        <v>43814</v>
      </c>
      <c r="C467" s="2" t="s">
        <v>3119</v>
      </c>
      <c r="D467" t="s">
        <v>6149</v>
      </c>
      <c r="E467" t="str">
        <f t="shared" si="37"/>
        <v>Robusta-Dark-2.5</v>
      </c>
      <c r="F467" s="2">
        <v>1</v>
      </c>
      <c r="G467" s="2" t="str" cm="1">
        <f t="array" ref="G467">_xlfn.XLOOKUP(C467, customers!$A$1:A1466,customers!$B$1:B1466,,0)</f>
        <v>Dick Drinkall</v>
      </c>
      <c r="H467" s="2" t="str" cm="1">
        <f t="array" ref="H467">IF(_xlfn.XLOOKUP(C467,customers!$A$1:A1466,customers!$C$1:C1466,,0) = 0,"", _xlfn.XLOOKUP(C467,customers!$A$1:A1466,customers!$C$1:C1466,,0))</f>
        <v>ddrinkallcx@psu.edu</v>
      </c>
      <c r="I467" s="2" t="str">
        <f>_xlfn.XLOOKUP(C467,customers!$A$1:$A$1001,customers!$G$1:$G$1001,,0)</f>
        <v>United States</v>
      </c>
      <c r="J467" s="2" t="str">
        <f>_xlfn.XLOOKUP(Orders[[#This Row],[Customer ID]],customers!$A$1:$A$1001,customers!$F$1:$F$1001,,0)</f>
        <v>Knoxville</v>
      </c>
      <c r="K467" t="str">
        <f>INDEX(products!$A$1:$G$49,MATCH(orders!$D467,products!$A$1:$A$49,0),MATCH(orders!K$1,products!$A$1:$G$1,0))</f>
        <v>Rob</v>
      </c>
      <c r="L467" t="str">
        <f>INDEX(products!$A$1:$G$49,MATCH(orders!$D467,products!$A$1:$A$49,0),MATCH(orders!L$1,products!$A$1:$G$1,0))</f>
        <v>D</v>
      </c>
      <c r="M467" s="14">
        <f>INDEX(products!$A$1:$G$49,MATCH(orders!$D467,products!$A$1:$A$49,0),MATCH(orders!M$1,products!$A$1:$G$1,0))</f>
        <v>2.5</v>
      </c>
      <c r="N467" s="4">
        <f>INDEX(products!$A$1:$G$49,MATCH(orders!$D467,products!$A$1:$A$49,0),MATCH(orders!N$1,products!$A$1:$G$1,0))</f>
        <v>20.584999999999997</v>
      </c>
      <c r="O467" s="13">
        <f t="shared" si="35"/>
        <v>20.584999999999997</v>
      </c>
      <c r="P467" s="13">
        <f>_xlfn.XLOOKUP(Orders[[#This Row],[Product ID]],products!$A$1:$A$49,products!$G$1:$G$49,,0)</f>
        <v>1.2350999999999999</v>
      </c>
      <c r="Q467" s="13">
        <f t="shared" si="36"/>
        <v>1.2350999999999999</v>
      </c>
      <c r="R467" t="str">
        <f t="shared" si="38"/>
        <v>Robusta</v>
      </c>
      <c r="S467" t="str">
        <f t="shared" si="39"/>
        <v>Dark</v>
      </c>
      <c r="T467" t="str">
        <f>_xlfn.XLOOKUP(Orders[[#This Row],[Customer ID]],customers!$A$1:$A$1001,customers!$I$1:$I$1001,,0)</f>
        <v>Yes</v>
      </c>
    </row>
    <row r="468" spans="1:20" x14ac:dyDescent="0.35">
      <c r="A468" s="2" t="s">
        <v>3124</v>
      </c>
      <c r="B468" s="3">
        <v>44171</v>
      </c>
      <c r="C468" s="2" t="s">
        <v>3125</v>
      </c>
      <c r="D468" t="s">
        <v>6154</v>
      </c>
      <c r="E468" t="str">
        <f t="shared" si="37"/>
        <v>Arabica-Dark-0.2</v>
      </c>
      <c r="F468" s="2">
        <v>3</v>
      </c>
      <c r="G468" s="2" t="str" cm="1">
        <f t="array" ref="G468">_xlfn.XLOOKUP(C468, customers!$A$1:A1467,customers!$B$1:B1467,,0)</f>
        <v>Dagny Kornel</v>
      </c>
      <c r="H468" s="2" t="str" cm="1">
        <f t="array" ref="H468">IF(_xlfn.XLOOKUP(C468,customers!$A$1:A1467,customers!$C$1:C1467,,0) = 0,"", _xlfn.XLOOKUP(C468,customers!$A$1:A1467,customers!$C$1:C1467,,0))</f>
        <v>dkornelcy@cyberchimps.com</v>
      </c>
      <c r="I468" s="2" t="str">
        <f>_xlfn.XLOOKUP(C468,customers!$A$1:$A$1001,customers!$G$1:$G$1001,,0)</f>
        <v>United States</v>
      </c>
      <c r="J468" s="2" t="str">
        <f>_xlfn.XLOOKUP(Orders[[#This Row],[Customer ID]],customers!$A$1:$A$1001,customers!$F$1:$F$1001,,0)</f>
        <v>Saginaw</v>
      </c>
      <c r="K468" t="str">
        <f>INDEX(products!$A$1:$G$49,MATCH(orders!$D468,products!$A$1:$A$49,0),MATCH(orders!K$1,products!$A$1:$G$1,0))</f>
        <v>Ara</v>
      </c>
      <c r="L468" t="str">
        <f>INDEX(products!$A$1:$G$49,MATCH(orders!$D468,products!$A$1:$A$49,0),MATCH(orders!L$1,products!$A$1:$G$1,0))</f>
        <v>D</v>
      </c>
      <c r="M468" s="14">
        <f>INDEX(products!$A$1:$G$49,MATCH(orders!$D468,products!$A$1:$A$49,0),MATCH(orders!M$1,products!$A$1:$G$1,0))</f>
        <v>0.2</v>
      </c>
      <c r="N468" s="4">
        <f>INDEX(products!$A$1:$G$49,MATCH(orders!$D468,products!$A$1:$A$49,0),MATCH(orders!N$1,products!$A$1:$G$1,0))</f>
        <v>2.9849999999999999</v>
      </c>
      <c r="O468" s="13">
        <f t="shared" si="35"/>
        <v>8.9550000000000001</v>
      </c>
      <c r="P468" s="13">
        <f>_xlfn.XLOOKUP(Orders[[#This Row],[Product ID]],products!$A$1:$A$49,products!$G$1:$G$49,,0)</f>
        <v>0.26865</v>
      </c>
      <c r="Q468" s="13">
        <f t="shared" si="36"/>
        <v>0.80594999999999994</v>
      </c>
      <c r="R468" t="str">
        <f t="shared" si="38"/>
        <v>Arabica</v>
      </c>
      <c r="S468" t="str">
        <f t="shared" si="39"/>
        <v>Dark</v>
      </c>
      <c r="T468" t="str">
        <f>_xlfn.XLOOKUP(Orders[[#This Row],[Customer ID]],customers!$A$1:$A$1001,customers!$I$1:$I$1001,,0)</f>
        <v>Yes</v>
      </c>
    </row>
    <row r="469" spans="1:20" x14ac:dyDescent="0.35">
      <c r="A469" s="2" t="s">
        <v>3130</v>
      </c>
      <c r="B469" s="3">
        <v>44536</v>
      </c>
      <c r="C469" s="2" t="s">
        <v>3131</v>
      </c>
      <c r="D469" t="s">
        <v>6158</v>
      </c>
      <c r="E469" t="str">
        <f t="shared" si="37"/>
        <v>Arabica-Dark-0.5</v>
      </c>
      <c r="F469" s="2">
        <v>1</v>
      </c>
      <c r="G469" s="2" t="str" cm="1">
        <f t="array" ref="G469">_xlfn.XLOOKUP(C469, customers!$A$1:A1468,customers!$B$1:B1468,,0)</f>
        <v>Rhona Lequeux</v>
      </c>
      <c r="H469" s="2" t="str" cm="1">
        <f t="array" ref="H469">IF(_xlfn.XLOOKUP(C469,customers!$A$1:A1468,customers!$C$1:C1468,,0) = 0,"", _xlfn.XLOOKUP(C469,customers!$A$1:A1468,customers!$C$1:C1468,,0))</f>
        <v>rlequeuxcz@newyorker.com</v>
      </c>
      <c r="I469" s="2" t="str">
        <f>_xlfn.XLOOKUP(C469,customers!$A$1:$A$1001,customers!$G$1:$G$1001,,0)</f>
        <v>United States</v>
      </c>
      <c r="J469" s="2" t="str">
        <f>_xlfn.XLOOKUP(Orders[[#This Row],[Customer ID]],customers!$A$1:$A$1001,customers!$F$1:$F$1001,,0)</f>
        <v>Saint Augustine</v>
      </c>
      <c r="K469" t="str">
        <f>INDEX(products!$A$1:$G$49,MATCH(orders!$D469,products!$A$1:$A$49,0),MATCH(orders!K$1,products!$A$1:$G$1,0))</f>
        <v>Ara</v>
      </c>
      <c r="L469" t="str">
        <f>INDEX(products!$A$1:$G$49,MATCH(orders!$D469,products!$A$1:$A$49,0),MATCH(orders!L$1,products!$A$1:$G$1,0))</f>
        <v>D</v>
      </c>
      <c r="M469" s="14">
        <f>INDEX(products!$A$1:$G$49,MATCH(orders!$D469,products!$A$1:$A$49,0),MATCH(orders!M$1,products!$A$1:$G$1,0))</f>
        <v>0.5</v>
      </c>
      <c r="N469" s="4">
        <f>INDEX(products!$A$1:$G$49,MATCH(orders!$D469,products!$A$1:$A$49,0),MATCH(orders!N$1,products!$A$1:$G$1,0))</f>
        <v>5.97</v>
      </c>
      <c r="O469" s="13">
        <f t="shared" si="35"/>
        <v>5.97</v>
      </c>
      <c r="P469" s="13">
        <f>_xlfn.XLOOKUP(Orders[[#This Row],[Product ID]],products!$A$1:$A$49,products!$G$1:$G$49,,0)</f>
        <v>0.5373</v>
      </c>
      <c r="Q469" s="13">
        <f t="shared" si="36"/>
        <v>0.5373</v>
      </c>
      <c r="R469" t="str">
        <f t="shared" si="38"/>
        <v>Arabica</v>
      </c>
      <c r="S469" t="str">
        <f t="shared" si="39"/>
        <v>Dark</v>
      </c>
      <c r="T469" t="str">
        <f>_xlfn.XLOOKUP(Orders[[#This Row],[Customer ID]],customers!$A$1:$A$1001,customers!$I$1:$I$1001,,0)</f>
        <v>No</v>
      </c>
    </row>
    <row r="470" spans="1:20" x14ac:dyDescent="0.35">
      <c r="A470" s="2" t="s">
        <v>3136</v>
      </c>
      <c r="B470" s="3">
        <v>44023</v>
      </c>
      <c r="C470" s="2" t="s">
        <v>3137</v>
      </c>
      <c r="D470" t="s">
        <v>6141</v>
      </c>
      <c r="E470" t="str">
        <f t="shared" si="37"/>
        <v>Excelsa-Medium-1</v>
      </c>
      <c r="F470" s="2">
        <v>3</v>
      </c>
      <c r="G470" s="2" t="str" cm="1">
        <f t="array" ref="G470">_xlfn.XLOOKUP(C470, customers!$A$1:A1469,customers!$B$1:B1469,,0)</f>
        <v>Julius Mccaull</v>
      </c>
      <c r="H470" s="2" t="str" cm="1">
        <f t="array" ref="H470">IF(_xlfn.XLOOKUP(C470,customers!$A$1:A1469,customers!$C$1:C1469,,0) = 0,"", _xlfn.XLOOKUP(C470,customers!$A$1:A1469,customers!$C$1:C1469,,0))</f>
        <v>jmccaulld0@parallels.com</v>
      </c>
      <c r="I470" s="2" t="str">
        <f>_xlfn.XLOOKUP(C470,customers!$A$1:$A$1001,customers!$G$1:$G$1001,,0)</f>
        <v>United States</v>
      </c>
      <c r="J470" s="2" t="str">
        <f>_xlfn.XLOOKUP(Orders[[#This Row],[Customer ID]],customers!$A$1:$A$1001,customers!$F$1:$F$1001,,0)</f>
        <v>San Rafael</v>
      </c>
      <c r="K470" t="str">
        <f>INDEX(products!$A$1:$G$49,MATCH(orders!$D470,products!$A$1:$A$49,0),MATCH(orders!K$1,products!$A$1:$G$1,0))</f>
        <v>Exc</v>
      </c>
      <c r="L470" t="str">
        <f>INDEX(products!$A$1:$G$49,MATCH(orders!$D470,products!$A$1:$A$49,0),MATCH(orders!L$1,products!$A$1:$G$1,0))</f>
        <v>M</v>
      </c>
      <c r="M470" s="14">
        <f>INDEX(products!$A$1:$G$49,MATCH(orders!$D470,products!$A$1:$A$49,0),MATCH(orders!M$1,products!$A$1:$G$1,0))</f>
        <v>1</v>
      </c>
      <c r="N470" s="4">
        <f>INDEX(products!$A$1:$G$49,MATCH(orders!$D470,products!$A$1:$A$49,0),MATCH(orders!N$1,products!$A$1:$G$1,0))</f>
        <v>13.75</v>
      </c>
      <c r="O470" s="13">
        <f t="shared" si="35"/>
        <v>41.25</v>
      </c>
      <c r="P470" s="13">
        <f>_xlfn.XLOOKUP(Orders[[#This Row],[Product ID]],products!$A$1:$A$49,products!$G$1:$G$49,,0)</f>
        <v>1.5125</v>
      </c>
      <c r="Q470" s="13">
        <f t="shared" si="36"/>
        <v>4.5374999999999996</v>
      </c>
      <c r="R470" t="str">
        <f t="shared" si="38"/>
        <v>Execelsa</v>
      </c>
      <c r="S470" t="str">
        <f t="shared" si="39"/>
        <v>Medium</v>
      </c>
      <c r="T470" t="str">
        <f>_xlfn.XLOOKUP(Orders[[#This Row],[Customer ID]],customers!$A$1:$A$1001,customers!$I$1:$I$1001,,0)</f>
        <v>Yes</v>
      </c>
    </row>
    <row r="471" spans="1:20" x14ac:dyDescent="0.35">
      <c r="A471" s="2" t="s">
        <v>3141</v>
      </c>
      <c r="B471" s="3">
        <v>44375</v>
      </c>
      <c r="C471" s="2" t="s">
        <v>3194</v>
      </c>
      <c r="D471" t="s">
        <v>6184</v>
      </c>
      <c r="E471" t="str">
        <f t="shared" si="37"/>
        <v>Excelsa-Light-0.2</v>
      </c>
      <c r="F471" s="2">
        <v>5</v>
      </c>
      <c r="G471" s="2" t="str" cm="1">
        <f t="array" ref="G471">_xlfn.XLOOKUP(C471, customers!$A$1:A1470,customers!$B$1:B1470,,0)</f>
        <v>Ailey Brash</v>
      </c>
      <c r="H471" s="2" t="str" cm="1">
        <f t="array" ref="H471">IF(_xlfn.XLOOKUP(C471,customers!$A$1:A1470,customers!$C$1:C1470,,0) = 0,"", _xlfn.XLOOKUP(C471,customers!$A$1:A1470,customers!$C$1:C1470,,0))</f>
        <v>abrashda@plala.or.jp</v>
      </c>
      <c r="I471" s="2" t="str">
        <f>_xlfn.XLOOKUP(C471,customers!$A$1:$A$1001,customers!$G$1:$G$1001,,0)</f>
        <v>United States</v>
      </c>
      <c r="J471" s="2" t="str">
        <f>_xlfn.XLOOKUP(Orders[[#This Row],[Customer ID]],customers!$A$1:$A$1001,customers!$F$1:$F$1001,,0)</f>
        <v>Flushing</v>
      </c>
      <c r="K471" t="str">
        <f>INDEX(products!$A$1:$G$49,MATCH(orders!$D471,products!$A$1:$A$49,0),MATCH(orders!K$1,products!$A$1:$G$1,0))</f>
        <v>Exc</v>
      </c>
      <c r="L471" t="str">
        <f>INDEX(products!$A$1:$G$49,MATCH(orders!$D471,products!$A$1:$A$49,0),MATCH(orders!L$1,products!$A$1:$G$1,0))</f>
        <v>L</v>
      </c>
      <c r="M471" s="14">
        <f>INDEX(products!$A$1:$G$49,MATCH(orders!$D471,products!$A$1:$A$49,0),MATCH(orders!M$1,products!$A$1:$G$1,0))</f>
        <v>0.2</v>
      </c>
      <c r="N471" s="4">
        <f>INDEX(products!$A$1:$G$49,MATCH(orders!$D471,products!$A$1:$A$49,0),MATCH(orders!N$1,products!$A$1:$G$1,0))</f>
        <v>4.4550000000000001</v>
      </c>
      <c r="O471" s="13">
        <f t="shared" si="35"/>
        <v>22.274999999999999</v>
      </c>
      <c r="P471" s="13">
        <f>_xlfn.XLOOKUP(Orders[[#This Row],[Product ID]],products!$A$1:$A$49,products!$G$1:$G$49,,0)</f>
        <v>0.49004999999999999</v>
      </c>
      <c r="Q471" s="13">
        <f t="shared" si="36"/>
        <v>2.45025</v>
      </c>
      <c r="R471" t="str">
        <f t="shared" si="38"/>
        <v>Execelsa</v>
      </c>
      <c r="S471" t="str">
        <f t="shared" si="39"/>
        <v>Light</v>
      </c>
      <c r="T471" t="str">
        <f>_xlfn.XLOOKUP(Orders[[#This Row],[Customer ID]],customers!$A$1:$A$1001,customers!$I$1:$I$1001,,0)</f>
        <v>Yes</v>
      </c>
    </row>
    <row r="472" spans="1:20" x14ac:dyDescent="0.35">
      <c r="A472" s="2" t="s">
        <v>3147</v>
      </c>
      <c r="B472" s="3">
        <v>44656</v>
      </c>
      <c r="C472" s="2" t="s">
        <v>3148</v>
      </c>
      <c r="D472" t="s">
        <v>6157</v>
      </c>
      <c r="E472" t="str">
        <f t="shared" si="37"/>
        <v>Arabica-Medium-0.5</v>
      </c>
      <c r="F472" s="2">
        <v>1</v>
      </c>
      <c r="G472" s="2" t="str" cm="1">
        <f t="array" ref="G472">_xlfn.XLOOKUP(C472, customers!$A$1:A1471,customers!$B$1:B1471,,0)</f>
        <v>Alberto Hutchinson</v>
      </c>
      <c r="H472" s="2" t="str" cm="1">
        <f t="array" ref="H472">IF(_xlfn.XLOOKUP(C472,customers!$A$1:A1471,customers!$C$1:C1471,,0) = 0,"", _xlfn.XLOOKUP(C472,customers!$A$1:A1471,customers!$C$1:C1471,,0))</f>
        <v>ahutchinsond2@imgur.com</v>
      </c>
      <c r="I472" s="2" t="str">
        <f>_xlfn.XLOOKUP(C472,customers!$A$1:$A$1001,customers!$G$1:$G$1001,,0)</f>
        <v>United States</v>
      </c>
      <c r="J472" s="2" t="str">
        <f>_xlfn.XLOOKUP(Orders[[#This Row],[Customer ID]],customers!$A$1:$A$1001,customers!$F$1:$F$1001,,0)</f>
        <v>Lawrenceville</v>
      </c>
      <c r="K472" t="str">
        <f>INDEX(products!$A$1:$G$49,MATCH(orders!$D472,products!$A$1:$A$49,0),MATCH(orders!K$1,products!$A$1:$G$1,0))</f>
        <v>Ara</v>
      </c>
      <c r="L472" t="str">
        <f>INDEX(products!$A$1:$G$49,MATCH(orders!$D472,products!$A$1:$A$49,0),MATCH(orders!L$1,products!$A$1:$G$1,0))</f>
        <v>M</v>
      </c>
      <c r="M472" s="14">
        <f>INDEX(products!$A$1:$G$49,MATCH(orders!$D472,products!$A$1:$A$49,0),MATCH(orders!M$1,products!$A$1:$G$1,0))</f>
        <v>0.5</v>
      </c>
      <c r="N472" s="4">
        <f>INDEX(products!$A$1:$G$49,MATCH(orders!$D472,products!$A$1:$A$49,0),MATCH(orders!N$1,products!$A$1:$G$1,0))</f>
        <v>6.75</v>
      </c>
      <c r="O472" s="13">
        <f t="shared" si="35"/>
        <v>6.75</v>
      </c>
      <c r="P472" s="13">
        <f>_xlfn.XLOOKUP(Orders[[#This Row],[Product ID]],products!$A$1:$A$49,products!$G$1:$G$49,,0)</f>
        <v>0.60749999999999993</v>
      </c>
      <c r="Q472" s="13">
        <f t="shared" si="36"/>
        <v>0.60749999999999993</v>
      </c>
      <c r="R472" t="str">
        <f t="shared" si="38"/>
        <v>Arabica</v>
      </c>
      <c r="S472" t="str">
        <f t="shared" si="39"/>
        <v>Medium</v>
      </c>
      <c r="T472" t="str">
        <f>_xlfn.XLOOKUP(Orders[[#This Row],[Customer ID]],customers!$A$1:$A$1001,customers!$I$1:$I$1001,,0)</f>
        <v>Yes</v>
      </c>
    </row>
    <row r="473" spans="1:20" x14ac:dyDescent="0.35">
      <c r="A473" s="2" t="s">
        <v>3153</v>
      </c>
      <c r="B473" s="3">
        <v>44644</v>
      </c>
      <c r="C473" s="2" t="s">
        <v>3154</v>
      </c>
      <c r="D473" t="s">
        <v>6181</v>
      </c>
      <c r="E473" t="str">
        <f t="shared" si="37"/>
        <v>Liberica-Medium-2.5</v>
      </c>
      <c r="F473" s="2">
        <v>4</v>
      </c>
      <c r="G473" s="2" t="str" cm="1">
        <f t="array" ref="G473">_xlfn.XLOOKUP(C473, customers!$A$1:A1472,customers!$B$1:B1472,,0)</f>
        <v>Lamond Gheeraert</v>
      </c>
      <c r="H473" s="2" t="str" cm="1">
        <f t="array" ref="H473">IF(_xlfn.XLOOKUP(C473,customers!$A$1:A1472,customers!$C$1:C1472,,0) = 0,"", _xlfn.XLOOKUP(C473,customers!$A$1:A1472,customers!$C$1:C1472,,0))</f>
        <v/>
      </c>
      <c r="I473" s="2" t="str">
        <f>_xlfn.XLOOKUP(C473,customers!$A$1:$A$1001,customers!$G$1:$G$1001,,0)</f>
        <v>United States</v>
      </c>
      <c r="J473" s="2" t="str">
        <f>_xlfn.XLOOKUP(Orders[[#This Row],[Customer ID]],customers!$A$1:$A$1001,customers!$F$1:$F$1001,,0)</f>
        <v>Topeka</v>
      </c>
      <c r="K473" t="str">
        <f>INDEX(products!$A$1:$G$49,MATCH(orders!$D473,products!$A$1:$A$49,0),MATCH(orders!K$1,products!$A$1:$G$1,0))</f>
        <v>Lib</v>
      </c>
      <c r="L473" t="str">
        <f>INDEX(products!$A$1:$G$49,MATCH(orders!$D473,products!$A$1:$A$49,0),MATCH(orders!L$1,products!$A$1:$G$1,0))</f>
        <v>M</v>
      </c>
      <c r="M473" s="14">
        <f>INDEX(products!$A$1:$G$49,MATCH(orders!$D473,products!$A$1:$A$49,0),MATCH(orders!M$1,products!$A$1:$G$1,0))</f>
        <v>2.5</v>
      </c>
      <c r="N473" s="4">
        <f>INDEX(products!$A$1:$G$49,MATCH(orders!$D473,products!$A$1:$A$49,0),MATCH(orders!N$1,products!$A$1:$G$1,0))</f>
        <v>33.464999999999996</v>
      </c>
      <c r="O473" s="13">
        <f t="shared" si="35"/>
        <v>133.85999999999999</v>
      </c>
      <c r="P473" s="13">
        <f>_xlfn.XLOOKUP(Orders[[#This Row],[Product ID]],products!$A$1:$A$49,products!$G$1:$G$49,,0)</f>
        <v>4.3504499999999995</v>
      </c>
      <c r="Q473" s="13">
        <f t="shared" si="36"/>
        <v>17.401799999999998</v>
      </c>
      <c r="R473" t="str">
        <f t="shared" si="38"/>
        <v>Liberica</v>
      </c>
      <c r="S473" t="str">
        <f t="shared" si="39"/>
        <v>Medium</v>
      </c>
      <c r="T473" t="str">
        <f>_xlfn.XLOOKUP(Orders[[#This Row],[Customer ID]],customers!$A$1:$A$1001,customers!$I$1:$I$1001,,0)</f>
        <v>Yes</v>
      </c>
    </row>
    <row r="474" spans="1:20" x14ac:dyDescent="0.35">
      <c r="A474" s="2" t="s">
        <v>3158</v>
      </c>
      <c r="B474" s="3">
        <v>43869</v>
      </c>
      <c r="C474" s="2" t="s">
        <v>3159</v>
      </c>
      <c r="D474" t="s">
        <v>6154</v>
      </c>
      <c r="E474" t="str">
        <f t="shared" si="37"/>
        <v>Arabica-Dark-0.2</v>
      </c>
      <c r="F474" s="2">
        <v>2</v>
      </c>
      <c r="G474" s="2" t="str" cm="1">
        <f t="array" ref="G474">_xlfn.XLOOKUP(C474, customers!$A$1:A1473,customers!$B$1:B1473,,0)</f>
        <v>Roxine Drivers</v>
      </c>
      <c r="H474" s="2" t="str" cm="1">
        <f t="array" ref="H474">IF(_xlfn.XLOOKUP(C474,customers!$A$1:A1473,customers!$C$1:C1473,,0) = 0,"", _xlfn.XLOOKUP(C474,customers!$A$1:A1473,customers!$C$1:C1473,,0))</f>
        <v>rdriversd4@hexun.com</v>
      </c>
      <c r="I474" s="2" t="str">
        <f>_xlfn.XLOOKUP(C474,customers!$A$1:$A$1001,customers!$G$1:$G$1001,,0)</f>
        <v>United States</v>
      </c>
      <c r="J474" s="2" t="str">
        <f>_xlfn.XLOOKUP(Orders[[#This Row],[Customer ID]],customers!$A$1:$A$1001,customers!$F$1:$F$1001,,0)</f>
        <v>Shawnee Mission</v>
      </c>
      <c r="K474" t="str">
        <f>INDEX(products!$A$1:$G$49,MATCH(orders!$D474,products!$A$1:$A$49,0),MATCH(orders!K$1,products!$A$1:$G$1,0))</f>
        <v>Ara</v>
      </c>
      <c r="L474" t="str">
        <f>INDEX(products!$A$1:$G$49,MATCH(orders!$D474,products!$A$1:$A$49,0),MATCH(orders!L$1,products!$A$1:$G$1,0))</f>
        <v>D</v>
      </c>
      <c r="M474" s="14">
        <f>INDEX(products!$A$1:$G$49,MATCH(orders!$D474,products!$A$1:$A$49,0),MATCH(orders!M$1,products!$A$1:$G$1,0))</f>
        <v>0.2</v>
      </c>
      <c r="N474" s="4">
        <f>INDEX(products!$A$1:$G$49,MATCH(orders!$D474,products!$A$1:$A$49,0),MATCH(orders!N$1,products!$A$1:$G$1,0))</f>
        <v>2.9849999999999999</v>
      </c>
      <c r="O474" s="13">
        <f t="shared" si="35"/>
        <v>5.97</v>
      </c>
      <c r="P474" s="13">
        <f>_xlfn.XLOOKUP(Orders[[#This Row],[Product ID]],products!$A$1:$A$49,products!$G$1:$G$49,,0)</f>
        <v>0.26865</v>
      </c>
      <c r="Q474" s="13">
        <f t="shared" si="36"/>
        <v>0.5373</v>
      </c>
      <c r="R474" t="str">
        <f t="shared" si="38"/>
        <v>Arabica</v>
      </c>
      <c r="S474" t="str">
        <f t="shared" si="39"/>
        <v>Dark</v>
      </c>
      <c r="T474" t="str">
        <f>_xlfn.XLOOKUP(Orders[[#This Row],[Customer ID]],customers!$A$1:$A$1001,customers!$I$1:$I$1001,,0)</f>
        <v>No</v>
      </c>
    </row>
    <row r="475" spans="1:20" x14ac:dyDescent="0.35">
      <c r="A475" s="2" t="s">
        <v>3164</v>
      </c>
      <c r="B475" s="3">
        <v>44603</v>
      </c>
      <c r="C475" s="2" t="s">
        <v>3165</v>
      </c>
      <c r="D475" t="s">
        <v>6140</v>
      </c>
      <c r="E475" t="str">
        <f t="shared" si="37"/>
        <v>Arabica-Light-1</v>
      </c>
      <c r="F475" s="2">
        <v>2</v>
      </c>
      <c r="G475" s="2" t="str" cm="1">
        <f t="array" ref="G475">_xlfn.XLOOKUP(C475, customers!$A$1:A1474,customers!$B$1:B1474,,0)</f>
        <v>Heloise Zeal</v>
      </c>
      <c r="H475" s="2" t="str" cm="1">
        <f t="array" ref="H475">IF(_xlfn.XLOOKUP(C475,customers!$A$1:A1474,customers!$C$1:C1474,,0) = 0,"", _xlfn.XLOOKUP(C475,customers!$A$1:A1474,customers!$C$1:C1474,,0))</f>
        <v>hzeald5@google.de</v>
      </c>
      <c r="I475" s="2" t="str">
        <f>_xlfn.XLOOKUP(C475,customers!$A$1:$A$1001,customers!$G$1:$G$1001,,0)</f>
        <v>United States</v>
      </c>
      <c r="J475" s="2" t="str">
        <f>_xlfn.XLOOKUP(Orders[[#This Row],[Customer ID]],customers!$A$1:$A$1001,customers!$F$1:$F$1001,,0)</f>
        <v>Seattle</v>
      </c>
      <c r="K475" t="str">
        <f>INDEX(products!$A$1:$G$49,MATCH(orders!$D475,products!$A$1:$A$49,0),MATCH(orders!K$1,products!$A$1:$G$1,0))</f>
        <v>Ara</v>
      </c>
      <c r="L475" t="str">
        <f>INDEX(products!$A$1:$G$49,MATCH(orders!$D475,products!$A$1:$A$49,0),MATCH(orders!L$1,products!$A$1:$G$1,0))</f>
        <v>L</v>
      </c>
      <c r="M475" s="14">
        <f>INDEX(products!$A$1:$G$49,MATCH(orders!$D475,products!$A$1:$A$49,0),MATCH(orders!M$1,products!$A$1:$G$1,0))</f>
        <v>1</v>
      </c>
      <c r="N475" s="4">
        <f>INDEX(products!$A$1:$G$49,MATCH(orders!$D475,products!$A$1:$A$49,0),MATCH(orders!N$1,products!$A$1:$G$1,0))</f>
        <v>12.95</v>
      </c>
      <c r="O475" s="13">
        <f t="shared" si="35"/>
        <v>25.9</v>
      </c>
      <c r="P475" s="13">
        <f>_xlfn.XLOOKUP(Orders[[#This Row],[Product ID]],products!$A$1:$A$49,products!$G$1:$G$49,,0)</f>
        <v>1.1655</v>
      </c>
      <c r="Q475" s="13">
        <f t="shared" si="36"/>
        <v>2.331</v>
      </c>
      <c r="R475" t="str">
        <f t="shared" si="38"/>
        <v>Arabica</v>
      </c>
      <c r="S475" t="str">
        <f t="shared" si="39"/>
        <v>Light</v>
      </c>
      <c r="T475" t="str">
        <f>_xlfn.XLOOKUP(Orders[[#This Row],[Customer ID]],customers!$A$1:$A$1001,customers!$I$1:$I$1001,,0)</f>
        <v>No</v>
      </c>
    </row>
    <row r="476" spans="1:20" x14ac:dyDescent="0.35">
      <c r="A476" s="2" t="s">
        <v>3170</v>
      </c>
      <c r="B476" s="3">
        <v>44014</v>
      </c>
      <c r="C476" s="2" t="s">
        <v>3171</v>
      </c>
      <c r="D476" t="s">
        <v>6166</v>
      </c>
      <c r="E476" t="str">
        <f t="shared" si="37"/>
        <v>Excelsa-Medium-2.5</v>
      </c>
      <c r="F476" s="2">
        <v>1</v>
      </c>
      <c r="G476" s="2" t="str" cm="1">
        <f t="array" ref="G476">_xlfn.XLOOKUP(C476, customers!$A$1:A1475,customers!$B$1:B1475,,0)</f>
        <v>Granger Smallcombe</v>
      </c>
      <c r="H476" s="2" t="str" cm="1">
        <f t="array" ref="H476">IF(_xlfn.XLOOKUP(C476,customers!$A$1:A1475,customers!$C$1:C1475,,0) = 0,"", _xlfn.XLOOKUP(C476,customers!$A$1:A1475,customers!$C$1:C1475,,0))</f>
        <v>gsmallcombed6@ucla.edu</v>
      </c>
      <c r="I476" s="2" t="str">
        <f>_xlfn.XLOOKUP(C476,customers!$A$1:$A$1001,customers!$G$1:$G$1001,,0)</f>
        <v>Ireland</v>
      </c>
      <c r="J476" s="2" t="str">
        <f>_xlfn.XLOOKUP(Orders[[#This Row],[Customer ID]],customers!$A$1:$A$1001,customers!$F$1:$F$1001,,0)</f>
        <v>Kilkenny</v>
      </c>
      <c r="K476" t="str">
        <f>INDEX(products!$A$1:$G$49,MATCH(orders!$D476,products!$A$1:$A$49,0),MATCH(orders!K$1,products!$A$1:$G$1,0))</f>
        <v>Exc</v>
      </c>
      <c r="L476" t="str">
        <f>INDEX(products!$A$1:$G$49,MATCH(orders!$D476,products!$A$1:$A$49,0),MATCH(orders!L$1,products!$A$1:$G$1,0))</f>
        <v>M</v>
      </c>
      <c r="M476" s="14">
        <f>INDEX(products!$A$1:$G$49,MATCH(orders!$D476,products!$A$1:$A$49,0),MATCH(orders!M$1,products!$A$1:$G$1,0))</f>
        <v>2.5</v>
      </c>
      <c r="N476" s="4">
        <f>INDEX(products!$A$1:$G$49,MATCH(orders!$D476,products!$A$1:$A$49,0),MATCH(orders!N$1,products!$A$1:$G$1,0))</f>
        <v>31.624999999999996</v>
      </c>
      <c r="O476" s="13">
        <f t="shared" si="35"/>
        <v>31.624999999999996</v>
      </c>
      <c r="P476" s="13">
        <f>_xlfn.XLOOKUP(Orders[[#This Row],[Product ID]],products!$A$1:$A$49,products!$G$1:$G$49,,0)</f>
        <v>3.4787499999999998</v>
      </c>
      <c r="Q476" s="13">
        <f t="shared" si="36"/>
        <v>3.4787499999999998</v>
      </c>
      <c r="R476" t="str">
        <f t="shared" si="38"/>
        <v>Execelsa</v>
      </c>
      <c r="S476" t="str">
        <f t="shared" si="39"/>
        <v>Medium</v>
      </c>
      <c r="T476" t="str">
        <f>_xlfn.XLOOKUP(Orders[[#This Row],[Customer ID]],customers!$A$1:$A$1001,customers!$I$1:$I$1001,,0)</f>
        <v>Yes</v>
      </c>
    </row>
    <row r="477" spans="1:20" x14ac:dyDescent="0.35">
      <c r="A477" s="2" t="s">
        <v>3176</v>
      </c>
      <c r="B477" s="3">
        <v>44767</v>
      </c>
      <c r="C477" s="2" t="s">
        <v>3177</v>
      </c>
      <c r="D477" t="s">
        <v>6159</v>
      </c>
      <c r="E477" t="str">
        <f t="shared" si="37"/>
        <v>Liberica-Medium-0.2</v>
      </c>
      <c r="F477" s="2">
        <v>2</v>
      </c>
      <c r="G477" s="2" t="str" cm="1">
        <f t="array" ref="G477">_xlfn.XLOOKUP(C477, customers!$A$1:A1476,customers!$B$1:B1476,,0)</f>
        <v>Daryn Dibley</v>
      </c>
      <c r="H477" s="2" t="str" cm="1">
        <f t="array" ref="H477">IF(_xlfn.XLOOKUP(C477,customers!$A$1:A1476,customers!$C$1:C1476,,0) = 0,"", _xlfn.XLOOKUP(C477,customers!$A$1:A1476,customers!$C$1:C1476,,0))</f>
        <v>ddibleyd7@feedburner.com</v>
      </c>
      <c r="I477" s="2" t="str">
        <f>_xlfn.XLOOKUP(C477,customers!$A$1:$A$1001,customers!$G$1:$G$1001,,0)</f>
        <v>United States</v>
      </c>
      <c r="J477" s="2" t="str">
        <f>_xlfn.XLOOKUP(Orders[[#This Row],[Customer ID]],customers!$A$1:$A$1001,customers!$F$1:$F$1001,,0)</f>
        <v>Kissimmee</v>
      </c>
      <c r="K477" t="str">
        <f>INDEX(products!$A$1:$G$49,MATCH(orders!$D477,products!$A$1:$A$49,0),MATCH(orders!K$1,products!$A$1:$G$1,0))</f>
        <v>Lib</v>
      </c>
      <c r="L477" t="str">
        <f>INDEX(products!$A$1:$G$49,MATCH(orders!$D477,products!$A$1:$A$49,0),MATCH(orders!L$1,products!$A$1:$G$1,0))</f>
        <v>M</v>
      </c>
      <c r="M477" s="14">
        <f>INDEX(products!$A$1:$G$49,MATCH(orders!$D477,products!$A$1:$A$49,0),MATCH(orders!M$1,products!$A$1:$G$1,0))</f>
        <v>0.2</v>
      </c>
      <c r="N477" s="4">
        <f>INDEX(products!$A$1:$G$49,MATCH(orders!$D477,products!$A$1:$A$49,0),MATCH(orders!N$1,products!$A$1:$G$1,0))</f>
        <v>4.3650000000000002</v>
      </c>
      <c r="O477" s="13">
        <f t="shared" si="35"/>
        <v>8.73</v>
      </c>
      <c r="P477" s="13">
        <f>_xlfn.XLOOKUP(Orders[[#This Row],[Product ID]],products!$A$1:$A$49,products!$G$1:$G$49,,0)</f>
        <v>0.56745000000000001</v>
      </c>
      <c r="Q477" s="13">
        <f t="shared" si="36"/>
        <v>1.1349</v>
      </c>
      <c r="R477" t="str">
        <f t="shared" si="38"/>
        <v>Liberica</v>
      </c>
      <c r="S477" t="str">
        <f t="shared" si="39"/>
        <v>Medium</v>
      </c>
      <c r="T477" t="str">
        <f>_xlfn.XLOOKUP(Orders[[#This Row],[Customer ID]],customers!$A$1:$A$1001,customers!$I$1:$I$1001,,0)</f>
        <v>No</v>
      </c>
    </row>
    <row r="478" spans="1:20" x14ac:dyDescent="0.35">
      <c r="A478" s="2" t="s">
        <v>3181</v>
      </c>
      <c r="B478" s="3">
        <v>44274</v>
      </c>
      <c r="C478" s="2" t="s">
        <v>3182</v>
      </c>
      <c r="D478" t="s">
        <v>6184</v>
      </c>
      <c r="E478" t="str">
        <f t="shared" si="37"/>
        <v>Excelsa-Light-0.2</v>
      </c>
      <c r="F478" s="2">
        <v>6</v>
      </c>
      <c r="G478" s="2" t="str" cm="1">
        <f t="array" ref="G478">_xlfn.XLOOKUP(C478, customers!$A$1:A1477,customers!$B$1:B1477,,0)</f>
        <v>Gardy Dimitriou</v>
      </c>
      <c r="H478" s="2" t="str" cm="1">
        <f t="array" ref="H478">IF(_xlfn.XLOOKUP(C478,customers!$A$1:A1477,customers!$C$1:C1477,,0) = 0,"", _xlfn.XLOOKUP(C478,customers!$A$1:A1477,customers!$C$1:C1477,,0))</f>
        <v>gdimitrioud8@chronoengine.com</v>
      </c>
      <c r="I478" s="2" t="str">
        <f>_xlfn.XLOOKUP(C478,customers!$A$1:$A$1001,customers!$G$1:$G$1001,,0)</f>
        <v>United States</v>
      </c>
      <c r="J478" s="2" t="str">
        <f>_xlfn.XLOOKUP(Orders[[#This Row],[Customer ID]],customers!$A$1:$A$1001,customers!$F$1:$F$1001,,0)</f>
        <v>Rochester</v>
      </c>
      <c r="K478" t="str">
        <f>INDEX(products!$A$1:$G$49,MATCH(orders!$D478,products!$A$1:$A$49,0),MATCH(orders!K$1,products!$A$1:$G$1,0))</f>
        <v>Exc</v>
      </c>
      <c r="L478" t="str">
        <f>INDEX(products!$A$1:$G$49,MATCH(orders!$D478,products!$A$1:$A$49,0),MATCH(orders!L$1,products!$A$1:$G$1,0))</f>
        <v>L</v>
      </c>
      <c r="M478" s="14">
        <f>INDEX(products!$A$1:$G$49,MATCH(orders!$D478,products!$A$1:$A$49,0),MATCH(orders!M$1,products!$A$1:$G$1,0))</f>
        <v>0.2</v>
      </c>
      <c r="N478" s="4">
        <f>INDEX(products!$A$1:$G$49,MATCH(orders!$D478,products!$A$1:$A$49,0),MATCH(orders!N$1,products!$A$1:$G$1,0))</f>
        <v>4.4550000000000001</v>
      </c>
      <c r="O478" s="13">
        <f t="shared" si="35"/>
        <v>26.73</v>
      </c>
      <c r="P478" s="13">
        <f>_xlfn.XLOOKUP(Orders[[#This Row],[Product ID]],products!$A$1:$A$49,products!$G$1:$G$49,,0)</f>
        <v>0.49004999999999999</v>
      </c>
      <c r="Q478" s="13">
        <f t="shared" si="36"/>
        <v>2.9402999999999997</v>
      </c>
      <c r="R478" t="str">
        <f t="shared" si="38"/>
        <v>Execelsa</v>
      </c>
      <c r="S478" t="str">
        <f t="shared" si="39"/>
        <v>Light</v>
      </c>
      <c r="T478" t="str">
        <f>_xlfn.XLOOKUP(Orders[[#This Row],[Customer ID]],customers!$A$1:$A$1001,customers!$I$1:$I$1001,,0)</f>
        <v>Yes</v>
      </c>
    </row>
    <row r="479" spans="1:20" x14ac:dyDescent="0.35">
      <c r="A479" s="2" t="s">
        <v>3187</v>
      </c>
      <c r="B479" s="3">
        <v>43962</v>
      </c>
      <c r="C479" s="2" t="s">
        <v>3188</v>
      </c>
      <c r="D479" t="s">
        <v>6159</v>
      </c>
      <c r="E479" t="str">
        <f t="shared" si="37"/>
        <v>Liberica-Medium-0.2</v>
      </c>
      <c r="F479" s="2">
        <v>6</v>
      </c>
      <c r="G479" s="2" t="str" cm="1">
        <f t="array" ref="G479">_xlfn.XLOOKUP(C479, customers!$A$1:A1478,customers!$B$1:B1478,,0)</f>
        <v>Fanny Flanagan</v>
      </c>
      <c r="H479" s="2" t="str" cm="1">
        <f t="array" ref="H479">IF(_xlfn.XLOOKUP(C479,customers!$A$1:A1478,customers!$C$1:C1478,,0) = 0,"", _xlfn.XLOOKUP(C479,customers!$A$1:A1478,customers!$C$1:C1478,,0))</f>
        <v>fflanagand9@woothemes.com</v>
      </c>
      <c r="I479" s="2" t="str">
        <f>_xlfn.XLOOKUP(C479,customers!$A$1:$A$1001,customers!$G$1:$G$1001,,0)</f>
        <v>United States</v>
      </c>
      <c r="J479" s="2" t="str">
        <f>_xlfn.XLOOKUP(Orders[[#This Row],[Customer ID]],customers!$A$1:$A$1001,customers!$F$1:$F$1001,,0)</f>
        <v>Tyler</v>
      </c>
      <c r="K479" t="str">
        <f>INDEX(products!$A$1:$G$49,MATCH(orders!$D479,products!$A$1:$A$49,0),MATCH(orders!K$1,products!$A$1:$G$1,0))</f>
        <v>Lib</v>
      </c>
      <c r="L479" t="str">
        <f>INDEX(products!$A$1:$G$49,MATCH(orders!$D479,products!$A$1:$A$49,0),MATCH(orders!L$1,products!$A$1:$G$1,0))</f>
        <v>M</v>
      </c>
      <c r="M479" s="14">
        <f>INDEX(products!$A$1:$G$49,MATCH(orders!$D479,products!$A$1:$A$49,0),MATCH(orders!M$1,products!$A$1:$G$1,0))</f>
        <v>0.2</v>
      </c>
      <c r="N479" s="4">
        <f>INDEX(products!$A$1:$G$49,MATCH(orders!$D479,products!$A$1:$A$49,0),MATCH(orders!N$1,products!$A$1:$G$1,0))</f>
        <v>4.3650000000000002</v>
      </c>
      <c r="O479" s="13">
        <f t="shared" si="35"/>
        <v>26.19</v>
      </c>
      <c r="P479" s="13">
        <f>_xlfn.XLOOKUP(Orders[[#This Row],[Product ID]],products!$A$1:$A$49,products!$G$1:$G$49,,0)</f>
        <v>0.56745000000000001</v>
      </c>
      <c r="Q479" s="13">
        <f t="shared" si="36"/>
        <v>3.4047000000000001</v>
      </c>
      <c r="R479" t="str">
        <f t="shared" si="38"/>
        <v>Liberica</v>
      </c>
      <c r="S479" t="str">
        <f t="shared" si="39"/>
        <v>Medium</v>
      </c>
      <c r="T479" t="str">
        <f>_xlfn.XLOOKUP(Orders[[#This Row],[Customer ID]],customers!$A$1:$A$1001,customers!$I$1:$I$1001,,0)</f>
        <v>No</v>
      </c>
    </row>
    <row r="480" spans="1:20" x14ac:dyDescent="0.35">
      <c r="A480" s="2" t="s">
        <v>3193</v>
      </c>
      <c r="B480" s="3">
        <v>43624</v>
      </c>
      <c r="C480" s="2" t="s">
        <v>3194</v>
      </c>
      <c r="D480" t="s">
        <v>6177</v>
      </c>
      <c r="E480" t="str">
        <f t="shared" si="37"/>
        <v>Robusta-Dark-1</v>
      </c>
      <c r="F480" s="2">
        <v>6</v>
      </c>
      <c r="G480" s="2" t="str" cm="1">
        <f t="array" ref="G480">_xlfn.XLOOKUP(C480, customers!$A$1:A1479,customers!$B$1:B1479,,0)</f>
        <v>Ailey Brash</v>
      </c>
      <c r="H480" s="2" t="str" cm="1">
        <f t="array" ref="H480">IF(_xlfn.XLOOKUP(C480,customers!$A$1:A1479,customers!$C$1:C1479,,0) = 0,"", _xlfn.XLOOKUP(C480,customers!$A$1:A1479,customers!$C$1:C1479,,0))</f>
        <v>abrashda@plala.or.jp</v>
      </c>
      <c r="I480" s="2" t="str">
        <f>_xlfn.XLOOKUP(C480,customers!$A$1:$A$1001,customers!$G$1:$G$1001,,0)</f>
        <v>United States</v>
      </c>
      <c r="J480" s="2" t="str">
        <f>_xlfn.XLOOKUP(Orders[[#This Row],[Customer ID]],customers!$A$1:$A$1001,customers!$F$1:$F$1001,,0)</f>
        <v>Flushing</v>
      </c>
      <c r="K480" t="str">
        <f>INDEX(products!$A$1:$G$49,MATCH(orders!$D480,products!$A$1:$A$49,0),MATCH(orders!K$1,products!$A$1:$G$1,0))</f>
        <v>Rob</v>
      </c>
      <c r="L480" t="str">
        <f>INDEX(products!$A$1:$G$49,MATCH(orders!$D480,products!$A$1:$A$49,0),MATCH(orders!L$1,products!$A$1:$G$1,0))</f>
        <v>D</v>
      </c>
      <c r="M480" s="14">
        <f>INDEX(products!$A$1:$G$49,MATCH(orders!$D480,products!$A$1:$A$49,0),MATCH(orders!M$1,products!$A$1:$G$1,0))</f>
        <v>1</v>
      </c>
      <c r="N480" s="4">
        <f>INDEX(products!$A$1:$G$49,MATCH(orders!$D480,products!$A$1:$A$49,0),MATCH(orders!N$1,products!$A$1:$G$1,0))</f>
        <v>8.9499999999999993</v>
      </c>
      <c r="O480" s="13">
        <f t="shared" si="35"/>
        <v>53.699999999999996</v>
      </c>
      <c r="P480" s="13">
        <f>_xlfn.XLOOKUP(Orders[[#This Row],[Product ID]],products!$A$1:$A$49,products!$G$1:$G$49,,0)</f>
        <v>0.53699999999999992</v>
      </c>
      <c r="Q480" s="13">
        <f t="shared" si="36"/>
        <v>3.2219999999999995</v>
      </c>
      <c r="R480" t="str">
        <f t="shared" si="38"/>
        <v>Robusta</v>
      </c>
      <c r="S480" t="str">
        <f t="shared" si="39"/>
        <v>Dark</v>
      </c>
      <c r="T480" t="str">
        <f>_xlfn.XLOOKUP(Orders[[#This Row],[Customer ID]],customers!$A$1:$A$1001,customers!$I$1:$I$1001,,0)</f>
        <v>Yes</v>
      </c>
    </row>
    <row r="481" spans="1:20" x14ac:dyDescent="0.35">
      <c r="A481" s="2" t="s">
        <v>3193</v>
      </c>
      <c r="B481" s="3">
        <v>43624</v>
      </c>
      <c r="C481" s="2" t="s">
        <v>3194</v>
      </c>
      <c r="D481" t="s">
        <v>6166</v>
      </c>
      <c r="E481" t="str">
        <f t="shared" si="37"/>
        <v>Excelsa-Medium-2.5</v>
      </c>
      <c r="F481" s="2">
        <v>4</v>
      </c>
      <c r="G481" s="2" t="str" cm="1">
        <f t="array" ref="G481">_xlfn.XLOOKUP(C481, customers!$A$1:A1480,customers!$B$1:B1480,,0)</f>
        <v>Ailey Brash</v>
      </c>
      <c r="H481" s="2" t="str" cm="1">
        <f t="array" ref="H481">IF(_xlfn.XLOOKUP(C481,customers!$A$1:A1480,customers!$C$1:C1480,,0) = 0,"", _xlfn.XLOOKUP(C481,customers!$A$1:A1480,customers!$C$1:C1480,,0))</f>
        <v>abrashda@plala.or.jp</v>
      </c>
      <c r="I481" s="2" t="str">
        <f>_xlfn.XLOOKUP(C481,customers!$A$1:$A$1001,customers!$G$1:$G$1001,,0)</f>
        <v>United States</v>
      </c>
      <c r="J481" s="2" t="str">
        <f>_xlfn.XLOOKUP(Orders[[#This Row],[Customer ID]],customers!$A$1:$A$1001,customers!$F$1:$F$1001,,0)</f>
        <v>Flushing</v>
      </c>
      <c r="K481" t="str">
        <f>INDEX(products!$A$1:$G$49,MATCH(orders!$D481,products!$A$1:$A$49,0),MATCH(orders!K$1,products!$A$1:$G$1,0))</f>
        <v>Exc</v>
      </c>
      <c r="L481" t="str">
        <f>INDEX(products!$A$1:$G$49,MATCH(orders!$D481,products!$A$1:$A$49,0),MATCH(orders!L$1,products!$A$1:$G$1,0))</f>
        <v>M</v>
      </c>
      <c r="M481" s="14">
        <f>INDEX(products!$A$1:$G$49,MATCH(orders!$D481,products!$A$1:$A$49,0),MATCH(orders!M$1,products!$A$1:$G$1,0))</f>
        <v>2.5</v>
      </c>
      <c r="N481" s="4">
        <f>INDEX(products!$A$1:$G$49,MATCH(orders!$D481,products!$A$1:$A$49,0),MATCH(orders!N$1,products!$A$1:$G$1,0))</f>
        <v>31.624999999999996</v>
      </c>
      <c r="O481" s="13">
        <f t="shared" si="35"/>
        <v>126.49999999999999</v>
      </c>
      <c r="P481" s="13">
        <f>_xlfn.XLOOKUP(Orders[[#This Row],[Product ID]],products!$A$1:$A$49,products!$G$1:$G$49,,0)</f>
        <v>3.4787499999999998</v>
      </c>
      <c r="Q481" s="13">
        <f t="shared" si="36"/>
        <v>13.914999999999999</v>
      </c>
      <c r="R481" t="str">
        <f t="shared" si="38"/>
        <v>Execelsa</v>
      </c>
      <c r="S481" t="str">
        <f t="shared" si="39"/>
        <v>Medium</v>
      </c>
      <c r="T481" t="str">
        <f>_xlfn.XLOOKUP(Orders[[#This Row],[Customer ID]],customers!$A$1:$A$1001,customers!$I$1:$I$1001,,0)</f>
        <v>Yes</v>
      </c>
    </row>
    <row r="482" spans="1:20" x14ac:dyDescent="0.35">
      <c r="A482" s="2" t="s">
        <v>3193</v>
      </c>
      <c r="B482" s="3">
        <v>43624</v>
      </c>
      <c r="C482" s="2" t="s">
        <v>3194</v>
      </c>
      <c r="D482" t="s">
        <v>6156</v>
      </c>
      <c r="E482" t="str">
        <f t="shared" si="37"/>
        <v>Excelsa-Medium-0.2</v>
      </c>
      <c r="F482" s="2">
        <v>1</v>
      </c>
      <c r="G482" s="2" t="str" cm="1">
        <f t="array" ref="G482">_xlfn.XLOOKUP(C482, customers!$A$1:A1481,customers!$B$1:B1481,,0)</f>
        <v>Ailey Brash</v>
      </c>
      <c r="H482" s="2" t="str" cm="1">
        <f t="array" ref="H482">IF(_xlfn.XLOOKUP(C482,customers!$A$1:A1481,customers!$C$1:C1481,,0) = 0,"", _xlfn.XLOOKUP(C482,customers!$A$1:A1481,customers!$C$1:C1481,,0))</f>
        <v>abrashda@plala.or.jp</v>
      </c>
      <c r="I482" s="2" t="str">
        <f>_xlfn.XLOOKUP(C482,customers!$A$1:$A$1001,customers!$G$1:$G$1001,,0)</f>
        <v>United States</v>
      </c>
      <c r="J482" s="2" t="str">
        <f>_xlfn.XLOOKUP(Orders[[#This Row],[Customer ID]],customers!$A$1:$A$1001,customers!$F$1:$F$1001,,0)</f>
        <v>Flushing</v>
      </c>
      <c r="K482" t="str">
        <f>INDEX(products!$A$1:$G$49,MATCH(orders!$D482,products!$A$1:$A$49,0),MATCH(orders!K$1,products!$A$1:$G$1,0))</f>
        <v>Exc</v>
      </c>
      <c r="L482" t="str">
        <f>INDEX(products!$A$1:$G$49,MATCH(orders!$D482,products!$A$1:$A$49,0),MATCH(orders!L$1,products!$A$1:$G$1,0))</f>
        <v>M</v>
      </c>
      <c r="M482" s="14">
        <f>INDEX(products!$A$1:$G$49,MATCH(orders!$D482,products!$A$1:$A$49,0),MATCH(orders!M$1,products!$A$1:$G$1,0))</f>
        <v>0.2</v>
      </c>
      <c r="N482" s="4">
        <f>INDEX(products!$A$1:$G$49,MATCH(orders!$D482,products!$A$1:$A$49,0),MATCH(orders!N$1,products!$A$1:$G$1,0))</f>
        <v>4.125</v>
      </c>
      <c r="O482" s="13">
        <f t="shared" si="35"/>
        <v>4.125</v>
      </c>
      <c r="P482" s="13">
        <f>_xlfn.XLOOKUP(Orders[[#This Row],[Product ID]],products!$A$1:$A$49,products!$G$1:$G$49,,0)</f>
        <v>0.45374999999999999</v>
      </c>
      <c r="Q482" s="13">
        <f t="shared" si="36"/>
        <v>0.45374999999999999</v>
      </c>
      <c r="R482" t="str">
        <f t="shared" si="38"/>
        <v>Execelsa</v>
      </c>
      <c r="S482" t="str">
        <f t="shared" si="39"/>
        <v>Medium</v>
      </c>
      <c r="T482" t="str">
        <f>_xlfn.XLOOKUP(Orders[[#This Row],[Customer ID]],customers!$A$1:$A$1001,customers!$I$1:$I$1001,,0)</f>
        <v>Yes</v>
      </c>
    </row>
    <row r="483" spans="1:20" x14ac:dyDescent="0.35">
      <c r="A483" s="2" t="s">
        <v>3208</v>
      </c>
      <c r="B483" s="3">
        <v>43747</v>
      </c>
      <c r="C483" s="2" t="s">
        <v>3209</v>
      </c>
      <c r="D483" t="s">
        <v>6179</v>
      </c>
      <c r="E483" t="str">
        <f t="shared" si="37"/>
        <v>Robusta-Light-1</v>
      </c>
      <c r="F483" s="2">
        <v>2</v>
      </c>
      <c r="G483" s="2" t="str" cm="1">
        <f t="array" ref="G483">_xlfn.XLOOKUP(C483, customers!$A$1:A1482,customers!$B$1:B1482,,0)</f>
        <v>Nanny Izhakov</v>
      </c>
      <c r="H483" s="2" t="str" cm="1">
        <f t="array" ref="H483">IF(_xlfn.XLOOKUP(C483,customers!$A$1:A1482,customers!$C$1:C1482,,0) = 0,"", _xlfn.XLOOKUP(C483,customers!$A$1:A1482,customers!$C$1:C1482,,0))</f>
        <v>nizhakovdd@aol.com</v>
      </c>
      <c r="I483" s="2" t="str">
        <f>_xlfn.XLOOKUP(C483,customers!$A$1:$A$1001,customers!$G$1:$G$1001,,0)</f>
        <v>United Kingdom</v>
      </c>
      <c r="J483" s="2" t="str">
        <f>_xlfn.XLOOKUP(Orders[[#This Row],[Customer ID]],customers!$A$1:$A$1001,customers!$F$1:$F$1001,,0)</f>
        <v>Seaton</v>
      </c>
      <c r="K483" t="str">
        <f>INDEX(products!$A$1:$G$49,MATCH(orders!$D483,products!$A$1:$A$49,0),MATCH(orders!K$1,products!$A$1:$G$1,0))</f>
        <v>Rob</v>
      </c>
      <c r="L483" t="str">
        <f>INDEX(products!$A$1:$G$49,MATCH(orders!$D483,products!$A$1:$A$49,0),MATCH(orders!L$1,products!$A$1:$G$1,0))</f>
        <v>L</v>
      </c>
      <c r="M483" s="14">
        <f>INDEX(products!$A$1:$G$49,MATCH(orders!$D483,products!$A$1:$A$49,0),MATCH(orders!M$1,products!$A$1:$G$1,0))</f>
        <v>1</v>
      </c>
      <c r="N483" s="4">
        <f>INDEX(products!$A$1:$G$49,MATCH(orders!$D483,products!$A$1:$A$49,0),MATCH(orders!N$1,products!$A$1:$G$1,0))</f>
        <v>11.95</v>
      </c>
      <c r="O483" s="13">
        <f t="shared" si="35"/>
        <v>23.9</v>
      </c>
      <c r="P483" s="13">
        <f>_xlfn.XLOOKUP(Orders[[#This Row],[Product ID]],products!$A$1:$A$49,products!$G$1:$G$49,,0)</f>
        <v>0.71699999999999997</v>
      </c>
      <c r="Q483" s="13">
        <f t="shared" si="36"/>
        <v>1.4339999999999999</v>
      </c>
      <c r="R483" t="str">
        <f t="shared" si="38"/>
        <v>Robusta</v>
      </c>
      <c r="S483" t="str">
        <f t="shared" si="39"/>
        <v>Light</v>
      </c>
      <c r="T483" t="str">
        <f>_xlfn.XLOOKUP(Orders[[#This Row],[Customer ID]],customers!$A$1:$A$1001,customers!$I$1:$I$1001,,0)</f>
        <v>No</v>
      </c>
    </row>
    <row r="484" spans="1:20" x14ac:dyDescent="0.35">
      <c r="A484" s="2" t="s">
        <v>3214</v>
      </c>
      <c r="B484" s="3">
        <v>44247</v>
      </c>
      <c r="C484" s="2" t="s">
        <v>3215</v>
      </c>
      <c r="D484" t="s">
        <v>6185</v>
      </c>
      <c r="E484" t="str">
        <f t="shared" si="37"/>
        <v>Excelsa-Dark-2.5</v>
      </c>
      <c r="F484" s="2">
        <v>5</v>
      </c>
      <c r="G484" s="2" t="str" cm="1">
        <f t="array" ref="G484">_xlfn.XLOOKUP(C484, customers!$A$1:A1483,customers!$B$1:B1483,,0)</f>
        <v>Stanly Keets</v>
      </c>
      <c r="H484" s="2" t="str" cm="1">
        <f t="array" ref="H484">IF(_xlfn.XLOOKUP(C484,customers!$A$1:A1483,customers!$C$1:C1483,,0) = 0,"", _xlfn.XLOOKUP(C484,customers!$A$1:A1483,customers!$C$1:C1483,,0))</f>
        <v>skeetsde@answers.com</v>
      </c>
      <c r="I484" s="2" t="str">
        <f>_xlfn.XLOOKUP(C484,customers!$A$1:$A$1001,customers!$G$1:$G$1001,,0)</f>
        <v>United States</v>
      </c>
      <c r="J484" s="2" t="str">
        <f>_xlfn.XLOOKUP(Orders[[#This Row],[Customer ID]],customers!$A$1:$A$1001,customers!$F$1:$F$1001,,0)</f>
        <v>Alexandria</v>
      </c>
      <c r="K484" t="str">
        <f>INDEX(products!$A$1:$G$49,MATCH(orders!$D484,products!$A$1:$A$49,0),MATCH(orders!K$1,products!$A$1:$G$1,0))</f>
        <v>Exc</v>
      </c>
      <c r="L484" t="str">
        <f>INDEX(products!$A$1:$G$49,MATCH(orders!$D484,products!$A$1:$A$49,0),MATCH(orders!L$1,products!$A$1:$G$1,0))</f>
        <v>D</v>
      </c>
      <c r="M484" s="14">
        <f>INDEX(products!$A$1:$G$49,MATCH(orders!$D484,products!$A$1:$A$49,0),MATCH(orders!M$1,products!$A$1:$G$1,0))</f>
        <v>2.5</v>
      </c>
      <c r="N484" s="4">
        <f>INDEX(products!$A$1:$G$49,MATCH(orders!$D484,products!$A$1:$A$49,0),MATCH(orders!N$1,products!$A$1:$G$1,0))</f>
        <v>27.945</v>
      </c>
      <c r="O484" s="13">
        <f t="shared" si="35"/>
        <v>139.72499999999999</v>
      </c>
      <c r="P484" s="13">
        <f>_xlfn.XLOOKUP(Orders[[#This Row],[Product ID]],products!$A$1:$A$49,products!$G$1:$G$49,,0)</f>
        <v>3.07395</v>
      </c>
      <c r="Q484" s="13">
        <f t="shared" si="36"/>
        <v>15.36975</v>
      </c>
      <c r="R484" t="str">
        <f t="shared" si="38"/>
        <v>Execelsa</v>
      </c>
      <c r="S484" t="str">
        <f t="shared" si="39"/>
        <v>Dark</v>
      </c>
      <c r="T484" t="str">
        <f>_xlfn.XLOOKUP(Orders[[#This Row],[Customer ID]],customers!$A$1:$A$1001,customers!$I$1:$I$1001,,0)</f>
        <v>Yes</v>
      </c>
    </row>
    <row r="485" spans="1:20" x14ac:dyDescent="0.35">
      <c r="A485" s="2" t="s">
        <v>3220</v>
      </c>
      <c r="B485" s="3">
        <v>43790</v>
      </c>
      <c r="C485" s="2" t="s">
        <v>3221</v>
      </c>
      <c r="D485" t="s">
        <v>6165</v>
      </c>
      <c r="E485" t="str">
        <f t="shared" si="37"/>
        <v>Liberica-Dark-2.5</v>
      </c>
      <c r="F485" s="2">
        <v>2</v>
      </c>
      <c r="G485" s="2" t="str" cm="1">
        <f t="array" ref="G485">_xlfn.XLOOKUP(C485, customers!$A$1:A1484,customers!$B$1:B1484,,0)</f>
        <v>Orion Dyott</v>
      </c>
      <c r="H485" s="2" t="str" cm="1">
        <f t="array" ref="H485">IF(_xlfn.XLOOKUP(C485,customers!$A$1:A1484,customers!$C$1:C1484,,0) = 0,"", _xlfn.XLOOKUP(C485,customers!$A$1:A1484,customers!$C$1:C1484,,0))</f>
        <v/>
      </c>
      <c r="I485" s="2" t="str">
        <f>_xlfn.XLOOKUP(C485,customers!$A$1:$A$1001,customers!$G$1:$G$1001,,0)</f>
        <v>United States</v>
      </c>
      <c r="J485" s="2" t="str">
        <f>_xlfn.XLOOKUP(Orders[[#This Row],[Customer ID]],customers!$A$1:$A$1001,customers!$F$1:$F$1001,,0)</f>
        <v>Salt Lake City</v>
      </c>
      <c r="K485" t="str">
        <f>INDEX(products!$A$1:$G$49,MATCH(orders!$D485,products!$A$1:$A$49,0),MATCH(orders!K$1,products!$A$1:$G$1,0))</f>
        <v>Lib</v>
      </c>
      <c r="L485" t="str">
        <f>INDEX(products!$A$1:$G$49,MATCH(orders!$D485,products!$A$1:$A$49,0),MATCH(orders!L$1,products!$A$1:$G$1,0))</f>
        <v>D</v>
      </c>
      <c r="M485" s="14">
        <f>INDEX(products!$A$1:$G$49,MATCH(orders!$D485,products!$A$1:$A$49,0),MATCH(orders!M$1,products!$A$1:$G$1,0))</f>
        <v>2.5</v>
      </c>
      <c r="N485" s="4">
        <f>INDEX(products!$A$1:$G$49,MATCH(orders!$D485,products!$A$1:$A$49,0),MATCH(orders!N$1,products!$A$1:$G$1,0))</f>
        <v>29.784999999999997</v>
      </c>
      <c r="O485" s="13">
        <f t="shared" si="35"/>
        <v>59.569999999999993</v>
      </c>
      <c r="P485" s="13">
        <f>_xlfn.XLOOKUP(Orders[[#This Row],[Product ID]],products!$A$1:$A$49,products!$G$1:$G$49,,0)</f>
        <v>3.8720499999999998</v>
      </c>
      <c r="Q485" s="13">
        <f t="shared" si="36"/>
        <v>7.7440999999999995</v>
      </c>
      <c r="R485" t="str">
        <f t="shared" si="38"/>
        <v>Liberica</v>
      </c>
      <c r="S485" t="str">
        <f t="shared" si="39"/>
        <v>Dark</v>
      </c>
      <c r="T485" t="str">
        <f>_xlfn.XLOOKUP(Orders[[#This Row],[Customer ID]],customers!$A$1:$A$1001,customers!$I$1:$I$1001,,0)</f>
        <v>Yes</v>
      </c>
    </row>
    <row r="486" spans="1:20" x14ac:dyDescent="0.35">
      <c r="A486" s="2" t="s">
        <v>3225</v>
      </c>
      <c r="B486" s="3">
        <v>44479</v>
      </c>
      <c r="C486" s="2" t="s">
        <v>3226</v>
      </c>
      <c r="D486" t="s">
        <v>6161</v>
      </c>
      <c r="E486" t="str">
        <f t="shared" si="37"/>
        <v>Liberica-Light-0.5</v>
      </c>
      <c r="F486" s="2">
        <v>6</v>
      </c>
      <c r="G486" s="2" t="str" cm="1">
        <f t="array" ref="G486">_xlfn.XLOOKUP(C486, customers!$A$1:A1485,customers!$B$1:B1485,,0)</f>
        <v>Keefer Cake</v>
      </c>
      <c r="H486" s="2" t="str" cm="1">
        <f t="array" ref="H486">IF(_xlfn.XLOOKUP(C486,customers!$A$1:A1485,customers!$C$1:C1485,,0) = 0,"", _xlfn.XLOOKUP(C486,customers!$A$1:A1485,customers!$C$1:C1485,,0))</f>
        <v>kcakedg@huffingtonpost.com</v>
      </c>
      <c r="I486" s="2" t="str">
        <f>_xlfn.XLOOKUP(C486,customers!$A$1:$A$1001,customers!$G$1:$G$1001,,0)</f>
        <v>United States</v>
      </c>
      <c r="J486" s="2" t="str">
        <f>_xlfn.XLOOKUP(Orders[[#This Row],[Customer ID]],customers!$A$1:$A$1001,customers!$F$1:$F$1001,,0)</f>
        <v>San Jose</v>
      </c>
      <c r="K486" t="str">
        <f>INDEX(products!$A$1:$G$49,MATCH(orders!$D486,products!$A$1:$A$49,0),MATCH(orders!K$1,products!$A$1:$G$1,0))</f>
        <v>Lib</v>
      </c>
      <c r="L486" t="str">
        <f>INDEX(products!$A$1:$G$49,MATCH(orders!$D486,products!$A$1:$A$49,0),MATCH(orders!L$1,products!$A$1:$G$1,0))</f>
        <v>L</v>
      </c>
      <c r="M486" s="14">
        <f>INDEX(products!$A$1:$G$49,MATCH(orders!$D486,products!$A$1:$A$49,0),MATCH(orders!M$1,products!$A$1:$G$1,0))</f>
        <v>0.5</v>
      </c>
      <c r="N486" s="4">
        <f>INDEX(products!$A$1:$G$49,MATCH(orders!$D486,products!$A$1:$A$49,0),MATCH(orders!N$1,products!$A$1:$G$1,0))</f>
        <v>9.51</v>
      </c>
      <c r="O486" s="13">
        <f t="shared" si="35"/>
        <v>57.06</v>
      </c>
      <c r="P486" s="13">
        <f>_xlfn.XLOOKUP(Orders[[#This Row],[Product ID]],products!$A$1:$A$49,products!$G$1:$G$49,,0)</f>
        <v>1.2363</v>
      </c>
      <c r="Q486" s="13">
        <f t="shared" si="36"/>
        <v>7.4177999999999997</v>
      </c>
      <c r="R486" t="str">
        <f t="shared" si="38"/>
        <v>Liberica</v>
      </c>
      <c r="S486" t="str">
        <f t="shared" si="39"/>
        <v>Light</v>
      </c>
      <c r="T486" t="str">
        <f>_xlfn.XLOOKUP(Orders[[#This Row],[Customer ID]],customers!$A$1:$A$1001,customers!$I$1:$I$1001,,0)</f>
        <v>No</v>
      </c>
    </row>
    <row r="487" spans="1:20" x14ac:dyDescent="0.35">
      <c r="A487" s="2" t="s">
        <v>3230</v>
      </c>
      <c r="B487" s="3">
        <v>44413</v>
      </c>
      <c r="C487" s="2" t="s">
        <v>3231</v>
      </c>
      <c r="D487" t="s">
        <v>6178</v>
      </c>
      <c r="E487" t="str">
        <f t="shared" si="37"/>
        <v>Robusta-Light-0.2</v>
      </c>
      <c r="F487" s="2">
        <v>6</v>
      </c>
      <c r="G487" s="2" t="str" cm="1">
        <f t="array" ref="G487">_xlfn.XLOOKUP(C487, customers!$A$1:A1486,customers!$B$1:B1486,,0)</f>
        <v>Morna Hansed</v>
      </c>
      <c r="H487" s="2" t="str" cm="1">
        <f t="array" ref="H487">IF(_xlfn.XLOOKUP(C487,customers!$A$1:A1486,customers!$C$1:C1486,,0) = 0,"", _xlfn.XLOOKUP(C487,customers!$A$1:A1486,customers!$C$1:C1486,,0))</f>
        <v>mhanseddh@instagram.com</v>
      </c>
      <c r="I487" s="2" t="str">
        <f>_xlfn.XLOOKUP(C487,customers!$A$1:$A$1001,customers!$G$1:$G$1001,,0)</f>
        <v>Ireland</v>
      </c>
      <c r="J487" s="2" t="str">
        <f>_xlfn.XLOOKUP(Orders[[#This Row],[Customer ID]],customers!$A$1:$A$1001,customers!$F$1:$F$1001,,0)</f>
        <v>Tr谩 Mh贸r</v>
      </c>
      <c r="K487" t="str">
        <f>INDEX(products!$A$1:$G$49,MATCH(orders!$D487,products!$A$1:$A$49,0),MATCH(orders!K$1,products!$A$1:$G$1,0))</f>
        <v>Rob</v>
      </c>
      <c r="L487" t="str">
        <f>INDEX(products!$A$1:$G$49,MATCH(orders!$D487,products!$A$1:$A$49,0),MATCH(orders!L$1,products!$A$1:$G$1,0))</f>
        <v>L</v>
      </c>
      <c r="M487" s="14">
        <f>INDEX(products!$A$1:$G$49,MATCH(orders!$D487,products!$A$1:$A$49,0),MATCH(orders!M$1,products!$A$1:$G$1,0))</f>
        <v>0.2</v>
      </c>
      <c r="N487" s="4">
        <f>INDEX(products!$A$1:$G$49,MATCH(orders!$D487,products!$A$1:$A$49,0),MATCH(orders!N$1,products!$A$1:$G$1,0))</f>
        <v>3.5849999999999995</v>
      </c>
      <c r="O487" s="13">
        <f t="shared" si="35"/>
        <v>21.509999999999998</v>
      </c>
      <c r="P487" s="13">
        <f>_xlfn.XLOOKUP(Orders[[#This Row],[Product ID]],products!$A$1:$A$49,products!$G$1:$G$49,,0)</f>
        <v>0.21509999999999996</v>
      </c>
      <c r="Q487" s="13">
        <f t="shared" si="36"/>
        <v>1.2905999999999997</v>
      </c>
      <c r="R487" t="str">
        <f t="shared" si="38"/>
        <v>Robusta</v>
      </c>
      <c r="S487" t="str">
        <f t="shared" si="39"/>
        <v>Light</v>
      </c>
      <c r="T487" t="str">
        <f>_xlfn.XLOOKUP(Orders[[#This Row],[Customer ID]],customers!$A$1:$A$1001,customers!$I$1:$I$1001,,0)</f>
        <v>Yes</v>
      </c>
    </row>
    <row r="488" spans="1:20" x14ac:dyDescent="0.35">
      <c r="A488" s="2" t="s">
        <v>3236</v>
      </c>
      <c r="B488" s="3">
        <v>44043</v>
      </c>
      <c r="C488" s="2" t="s">
        <v>3237</v>
      </c>
      <c r="D488" t="s">
        <v>6160</v>
      </c>
      <c r="E488" t="str">
        <f t="shared" si="37"/>
        <v>Liberica-Medium-0.5</v>
      </c>
      <c r="F488" s="2">
        <v>6</v>
      </c>
      <c r="G488" s="2" t="str" cm="1">
        <f t="array" ref="G488">_xlfn.XLOOKUP(C488, customers!$A$1:A1487,customers!$B$1:B1487,,0)</f>
        <v>Franny Kienlein</v>
      </c>
      <c r="H488" s="2" t="str" cm="1">
        <f t="array" ref="H488">IF(_xlfn.XLOOKUP(C488,customers!$A$1:A1487,customers!$C$1:C1487,,0) = 0,"", _xlfn.XLOOKUP(C488,customers!$A$1:A1487,customers!$C$1:C1487,,0))</f>
        <v>fkienleindi@trellian.com</v>
      </c>
      <c r="I488" s="2" t="str">
        <f>_xlfn.XLOOKUP(C488,customers!$A$1:$A$1001,customers!$G$1:$G$1001,,0)</f>
        <v>Ireland</v>
      </c>
      <c r="J488" s="2" t="str">
        <f>_xlfn.XLOOKUP(Orders[[#This Row],[Customer ID]],customers!$A$1:$A$1001,customers!$F$1:$F$1001,,0)</f>
        <v>Coolock</v>
      </c>
      <c r="K488" t="str">
        <f>INDEX(products!$A$1:$G$49,MATCH(orders!$D488,products!$A$1:$A$49,0),MATCH(orders!K$1,products!$A$1:$G$1,0))</f>
        <v>Lib</v>
      </c>
      <c r="L488" t="str">
        <f>INDEX(products!$A$1:$G$49,MATCH(orders!$D488,products!$A$1:$A$49,0),MATCH(orders!L$1,products!$A$1:$G$1,0))</f>
        <v>M</v>
      </c>
      <c r="M488" s="14">
        <f>INDEX(products!$A$1:$G$49,MATCH(orders!$D488,products!$A$1:$A$49,0),MATCH(orders!M$1,products!$A$1:$G$1,0))</f>
        <v>0.5</v>
      </c>
      <c r="N488" s="4">
        <f>INDEX(products!$A$1:$G$49,MATCH(orders!$D488,products!$A$1:$A$49,0),MATCH(orders!N$1,products!$A$1:$G$1,0))</f>
        <v>8.73</v>
      </c>
      <c r="O488" s="13">
        <f t="shared" si="35"/>
        <v>52.38</v>
      </c>
      <c r="P488" s="13">
        <f>_xlfn.XLOOKUP(Orders[[#This Row],[Product ID]],products!$A$1:$A$49,products!$G$1:$G$49,,0)</f>
        <v>1.1349</v>
      </c>
      <c r="Q488" s="13">
        <f t="shared" si="36"/>
        <v>6.8094000000000001</v>
      </c>
      <c r="R488" t="str">
        <f t="shared" si="38"/>
        <v>Liberica</v>
      </c>
      <c r="S488" t="str">
        <f t="shared" si="39"/>
        <v>Medium</v>
      </c>
      <c r="T488" t="str">
        <f>_xlfn.XLOOKUP(Orders[[#This Row],[Customer ID]],customers!$A$1:$A$1001,customers!$I$1:$I$1001,,0)</f>
        <v>Yes</v>
      </c>
    </row>
    <row r="489" spans="1:20" x14ac:dyDescent="0.35">
      <c r="A489" s="2" t="s">
        <v>3242</v>
      </c>
      <c r="B489" s="3">
        <v>44093</v>
      </c>
      <c r="C489" s="2" t="s">
        <v>3243</v>
      </c>
      <c r="D489" t="s">
        <v>6183</v>
      </c>
      <c r="E489" t="str">
        <f t="shared" si="37"/>
        <v>Excelsa-Dark-1</v>
      </c>
      <c r="F489" s="2">
        <v>6</v>
      </c>
      <c r="G489" s="2" t="str" cm="1">
        <f t="array" ref="G489">_xlfn.XLOOKUP(C489, customers!$A$1:A1488,customers!$B$1:B1488,,0)</f>
        <v>Klarika Egglestone</v>
      </c>
      <c r="H489" s="2" t="str" cm="1">
        <f t="array" ref="H489">IF(_xlfn.XLOOKUP(C489,customers!$A$1:A1488,customers!$C$1:C1488,,0) = 0,"", _xlfn.XLOOKUP(C489,customers!$A$1:A1488,customers!$C$1:C1488,,0))</f>
        <v>kegglestonedj@sphinn.com</v>
      </c>
      <c r="I489" s="2" t="str">
        <f>_xlfn.XLOOKUP(C489,customers!$A$1:$A$1001,customers!$G$1:$G$1001,,0)</f>
        <v>Ireland</v>
      </c>
      <c r="J489" s="2" t="str">
        <f>_xlfn.XLOOKUP(Orders[[#This Row],[Customer ID]],customers!$A$1:$A$1001,customers!$F$1:$F$1001,,0)</f>
        <v>Coolock</v>
      </c>
      <c r="K489" t="str">
        <f>INDEX(products!$A$1:$G$49,MATCH(orders!$D489,products!$A$1:$A$49,0),MATCH(orders!K$1,products!$A$1:$G$1,0))</f>
        <v>Exc</v>
      </c>
      <c r="L489" t="str">
        <f>INDEX(products!$A$1:$G$49,MATCH(orders!$D489,products!$A$1:$A$49,0),MATCH(orders!L$1,products!$A$1:$G$1,0))</f>
        <v>D</v>
      </c>
      <c r="M489" s="14">
        <f>INDEX(products!$A$1:$G$49,MATCH(orders!$D489,products!$A$1:$A$49,0),MATCH(orders!M$1,products!$A$1:$G$1,0))</f>
        <v>1</v>
      </c>
      <c r="N489" s="4">
        <f>INDEX(products!$A$1:$G$49,MATCH(orders!$D489,products!$A$1:$A$49,0),MATCH(orders!N$1,products!$A$1:$G$1,0))</f>
        <v>12.15</v>
      </c>
      <c r="O489" s="13">
        <f t="shared" si="35"/>
        <v>72.900000000000006</v>
      </c>
      <c r="P489" s="13">
        <f>_xlfn.XLOOKUP(Orders[[#This Row],[Product ID]],products!$A$1:$A$49,products!$G$1:$G$49,,0)</f>
        <v>1.3365</v>
      </c>
      <c r="Q489" s="13">
        <f t="shared" si="36"/>
        <v>8.0190000000000001</v>
      </c>
      <c r="R489" t="str">
        <f t="shared" si="38"/>
        <v>Execelsa</v>
      </c>
      <c r="S489" t="str">
        <f t="shared" si="39"/>
        <v>Dark</v>
      </c>
      <c r="T489" t="str">
        <f>_xlfn.XLOOKUP(Orders[[#This Row],[Customer ID]],customers!$A$1:$A$1001,customers!$I$1:$I$1001,,0)</f>
        <v>No</v>
      </c>
    </row>
    <row r="490" spans="1:20" x14ac:dyDescent="0.35">
      <c r="A490" s="2" t="s">
        <v>3248</v>
      </c>
      <c r="B490" s="3">
        <v>43954</v>
      </c>
      <c r="C490" s="2" t="s">
        <v>3249</v>
      </c>
      <c r="D490" t="s">
        <v>6174</v>
      </c>
      <c r="E490" t="str">
        <f t="shared" si="37"/>
        <v>Robusta-Medium-0.2</v>
      </c>
      <c r="F490" s="2">
        <v>5</v>
      </c>
      <c r="G490" s="2" t="str" cm="1">
        <f t="array" ref="G490">_xlfn.XLOOKUP(C490, customers!$A$1:A1489,customers!$B$1:B1489,,0)</f>
        <v>Becky Semkins</v>
      </c>
      <c r="H490" s="2" t="str" cm="1">
        <f t="array" ref="H490">IF(_xlfn.XLOOKUP(C490,customers!$A$1:A1489,customers!$C$1:C1489,,0) = 0,"", _xlfn.XLOOKUP(C490,customers!$A$1:A1489,customers!$C$1:C1489,,0))</f>
        <v>bsemkinsdk@unc.edu</v>
      </c>
      <c r="I490" s="2" t="str">
        <f>_xlfn.XLOOKUP(C490,customers!$A$1:$A$1001,customers!$G$1:$G$1001,,0)</f>
        <v>Ireland</v>
      </c>
      <c r="J490" s="2" t="str">
        <f>_xlfn.XLOOKUP(Orders[[#This Row],[Customer ID]],customers!$A$1:$A$1001,customers!$F$1:$F$1001,,0)</f>
        <v>Kinnegad</v>
      </c>
      <c r="K490" t="str">
        <f>INDEX(products!$A$1:$G$49,MATCH(orders!$D490,products!$A$1:$A$49,0),MATCH(orders!K$1,products!$A$1:$G$1,0))</f>
        <v>Rob</v>
      </c>
      <c r="L490" t="str">
        <f>INDEX(products!$A$1:$G$49,MATCH(orders!$D490,products!$A$1:$A$49,0),MATCH(orders!L$1,products!$A$1:$G$1,0))</f>
        <v>M</v>
      </c>
      <c r="M490" s="14">
        <f>INDEX(products!$A$1:$G$49,MATCH(orders!$D490,products!$A$1:$A$49,0),MATCH(orders!M$1,products!$A$1:$G$1,0))</f>
        <v>0.2</v>
      </c>
      <c r="N490" s="4">
        <f>INDEX(products!$A$1:$G$49,MATCH(orders!$D490,products!$A$1:$A$49,0),MATCH(orders!N$1,products!$A$1:$G$1,0))</f>
        <v>2.9849999999999999</v>
      </c>
      <c r="O490" s="13">
        <f t="shared" si="35"/>
        <v>14.924999999999999</v>
      </c>
      <c r="P490" s="13">
        <f>_xlfn.XLOOKUP(Orders[[#This Row],[Product ID]],products!$A$1:$A$49,products!$G$1:$G$49,,0)</f>
        <v>0.17909999999999998</v>
      </c>
      <c r="Q490" s="13">
        <f t="shared" si="36"/>
        <v>0.89549999999999996</v>
      </c>
      <c r="R490" t="str">
        <f t="shared" si="38"/>
        <v>Robusta</v>
      </c>
      <c r="S490" t="str">
        <f t="shared" si="39"/>
        <v>Medium</v>
      </c>
      <c r="T490" t="str">
        <f>_xlfn.XLOOKUP(Orders[[#This Row],[Customer ID]],customers!$A$1:$A$1001,customers!$I$1:$I$1001,,0)</f>
        <v>Yes</v>
      </c>
    </row>
    <row r="491" spans="1:20" x14ac:dyDescent="0.35">
      <c r="A491" s="2" t="s">
        <v>3254</v>
      </c>
      <c r="B491" s="3">
        <v>43654</v>
      </c>
      <c r="C491" s="2" t="s">
        <v>3255</v>
      </c>
      <c r="D491" t="s">
        <v>6170</v>
      </c>
      <c r="E491" t="str">
        <f t="shared" si="37"/>
        <v>Liberica-Light-1</v>
      </c>
      <c r="F491" s="2">
        <v>6</v>
      </c>
      <c r="G491" s="2" t="str" cm="1">
        <f t="array" ref="G491">_xlfn.XLOOKUP(C491, customers!$A$1:A1490,customers!$B$1:B1490,,0)</f>
        <v>Sean Lorenzetti</v>
      </c>
      <c r="H491" s="2" t="str" cm="1">
        <f t="array" ref="H491">IF(_xlfn.XLOOKUP(C491,customers!$A$1:A1490,customers!$C$1:C1490,,0) = 0,"", _xlfn.XLOOKUP(C491,customers!$A$1:A1490,customers!$C$1:C1490,,0))</f>
        <v>slorenzettidl@is.gd</v>
      </c>
      <c r="I491" s="2" t="str">
        <f>_xlfn.XLOOKUP(C491,customers!$A$1:$A$1001,customers!$G$1:$G$1001,,0)</f>
        <v>United States</v>
      </c>
      <c r="J491" s="2" t="str">
        <f>_xlfn.XLOOKUP(Orders[[#This Row],[Customer ID]],customers!$A$1:$A$1001,customers!$F$1:$F$1001,,0)</f>
        <v>El Paso</v>
      </c>
      <c r="K491" t="str">
        <f>INDEX(products!$A$1:$G$49,MATCH(orders!$D491,products!$A$1:$A$49,0),MATCH(orders!K$1,products!$A$1:$G$1,0))</f>
        <v>Lib</v>
      </c>
      <c r="L491" t="str">
        <f>INDEX(products!$A$1:$G$49,MATCH(orders!$D491,products!$A$1:$A$49,0),MATCH(orders!L$1,products!$A$1:$G$1,0))</f>
        <v>L</v>
      </c>
      <c r="M491" s="14">
        <f>INDEX(products!$A$1:$G$49,MATCH(orders!$D491,products!$A$1:$A$49,0),MATCH(orders!M$1,products!$A$1:$G$1,0))</f>
        <v>1</v>
      </c>
      <c r="N491" s="4">
        <f>INDEX(products!$A$1:$G$49,MATCH(orders!$D491,products!$A$1:$A$49,0),MATCH(orders!N$1,products!$A$1:$G$1,0))</f>
        <v>15.85</v>
      </c>
      <c r="O491" s="13">
        <f t="shared" si="35"/>
        <v>95.1</v>
      </c>
      <c r="P491" s="13">
        <f>_xlfn.XLOOKUP(Orders[[#This Row],[Product ID]],products!$A$1:$A$49,products!$G$1:$G$49,,0)</f>
        <v>2.0605000000000002</v>
      </c>
      <c r="Q491" s="13">
        <f t="shared" si="36"/>
        <v>12.363000000000001</v>
      </c>
      <c r="R491" t="str">
        <f t="shared" si="38"/>
        <v>Liberica</v>
      </c>
      <c r="S491" t="str">
        <f t="shared" si="39"/>
        <v>Light</v>
      </c>
      <c r="T491" t="str">
        <f>_xlfn.XLOOKUP(Orders[[#This Row],[Customer ID]],customers!$A$1:$A$1001,customers!$I$1:$I$1001,,0)</f>
        <v>No</v>
      </c>
    </row>
    <row r="492" spans="1:20" x14ac:dyDescent="0.35">
      <c r="A492" s="2" t="s">
        <v>3260</v>
      </c>
      <c r="B492" s="3">
        <v>43764</v>
      </c>
      <c r="C492" s="2" t="s">
        <v>3261</v>
      </c>
      <c r="D492" t="s">
        <v>6169</v>
      </c>
      <c r="E492" t="str">
        <f t="shared" si="37"/>
        <v>Liberica-Dark-0.5</v>
      </c>
      <c r="F492" s="2">
        <v>2</v>
      </c>
      <c r="G492" s="2" t="str" cm="1">
        <f t="array" ref="G492">_xlfn.XLOOKUP(C492, customers!$A$1:A1491,customers!$B$1:B1491,,0)</f>
        <v>Bob Giannazzi</v>
      </c>
      <c r="H492" s="2" t="str" cm="1">
        <f t="array" ref="H492">IF(_xlfn.XLOOKUP(C492,customers!$A$1:A1491,customers!$C$1:C1491,,0) = 0,"", _xlfn.XLOOKUP(C492,customers!$A$1:A1491,customers!$C$1:C1491,,0))</f>
        <v>bgiannazzidm@apple.com</v>
      </c>
      <c r="I492" s="2" t="str">
        <f>_xlfn.XLOOKUP(C492,customers!$A$1:$A$1001,customers!$G$1:$G$1001,,0)</f>
        <v>United States</v>
      </c>
      <c r="J492" s="2" t="str">
        <f>_xlfn.XLOOKUP(Orders[[#This Row],[Customer ID]],customers!$A$1:$A$1001,customers!$F$1:$F$1001,,0)</f>
        <v>Fort Lauderdale</v>
      </c>
      <c r="K492" t="str">
        <f>INDEX(products!$A$1:$G$49,MATCH(orders!$D492,products!$A$1:$A$49,0),MATCH(orders!K$1,products!$A$1:$G$1,0))</f>
        <v>Lib</v>
      </c>
      <c r="L492" t="str">
        <f>INDEX(products!$A$1:$G$49,MATCH(orders!$D492,products!$A$1:$A$49,0),MATCH(orders!L$1,products!$A$1:$G$1,0))</f>
        <v>D</v>
      </c>
      <c r="M492" s="14">
        <f>INDEX(products!$A$1:$G$49,MATCH(orders!$D492,products!$A$1:$A$49,0),MATCH(orders!M$1,products!$A$1:$G$1,0))</f>
        <v>0.5</v>
      </c>
      <c r="N492" s="4">
        <f>INDEX(products!$A$1:$G$49,MATCH(orders!$D492,products!$A$1:$A$49,0),MATCH(orders!N$1,products!$A$1:$G$1,0))</f>
        <v>7.77</v>
      </c>
      <c r="O492" s="13">
        <f t="shared" si="35"/>
        <v>15.54</v>
      </c>
      <c r="P492" s="13">
        <f>_xlfn.XLOOKUP(Orders[[#This Row],[Product ID]],products!$A$1:$A$49,products!$G$1:$G$49,,0)</f>
        <v>1.0101</v>
      </c>
      <c r="Q492" s="13">
        <f t="shared" si="36"/>
        <v>2.0202</v>
      </c>
      <c r="R492" t="str">
        <f t="shared" si="38"/>
        <v>Liberica</v>
      </c>
      <c r="S492" t="str">
        <f t="shared" si="39"/>
        <v>Dark</v>
      </c>
      <c r="T492" t="str">
        <f>_xlfn.XLOOKUP(Orders[[#This Row],[Customer ID]],customers!$A$1:$A$1001,customers!$I$1:$I$1001,,0)</f>
        <v>No</v>
      </c>
    </row>
    <row r="493" spans="1:20" x14ac:dyDescent="0.35">
      <c r="A493" s="2" t="s">
        <v>3266</v>
      </c>
      <c r="B493" s="3">
        <v>44101</v>
      </c>
      <c r="C493" s="2" t="s">
        <v>3267</v>
      </c>
      <c r="D493" t="s">
        <v>6150</v>
      </c>
      <c r="E493" t="str">
        <f t="shared" si="37"/>
        <v>Liberica-Dark-0.2</v>
      </c>
      <c r="F493" s="2">
        <v>6</v>
      </c>
      <c r="G493" s="2" t="str" cm="1">
        <f t="array" ref="G493">_xlfn.XLOOKUP(C493, customers!$A$1:A1492,customers!$B$1:B1492,,0)</f>
        <v>Kendra Backshell</v>
      </c>
      <c r="H493" s="2" t="str" cm="1">
        <f t="array" ref="H493">IF(_xlfn.XLOOKUP(C493,customers!$A$1:A1492,customers!$C$1:C1492,,0) = 0,"", _xlfn.XLOOKUP(C493,customers!$A$1:A1492,customers!$C$1:C1492,,0))</f>
        <v/>
      </c>
      <c r="I493" s="2" t="str">
        <f>_xlfn.XLOOKUP(C493,customers!$A$1:$A$1001,customers!$G$1:$G$1001,,0)</f>
        <v>United States</v>
      </c>
      <c r="J493" s="2" t="str">
        <f>_xlfn.XLOOKUP(Orders[[#This Row],[Customer ID]],customers!$A$1:$A$1001,customers!$F$1:$F$1001,,0)</f>
        <v>Indianapolis</v>
      </c>
      <c r="K493" t="str">
        <f>INDEX(products!$A$1:$G$49,MATCH(orders!$D493,products!$A$1:$A$49,0),MATCH(orders!K$1,products!$A$1:$G$1,0))</f>
        <v>Lib</v>
      </c>
      <c r="L493" t="str">
        <f>INDEX(products!$A$1:$G$49,MATCH(orders!$D493,products!$A$1:$A$49,0),MATCH(orders!L$1,products!$A$1:$G$1,0))</f>
        <v>D</v>
      </c>
      <c r="M493" s="14">
        <f>INDEX(products!$A$1:$G$49,MATCH(orders!$D493,products!$A$1:$A$49,0),MATCH(orders!M$1,products!$A$1:$G$1,0))</f>
        <v>0.2</v>
      </c>
      <c r="N493" s="4">
        <f>INDEX(products!$A$1:$G$49,MATCH(orders!$D493,products!$A$1:$A$49,0),MATCH(orders!N$1,products!$A$1:$G$1,0))</f>
        <v>3.8849999999999998</v>
      </c>
      <c r="O493" s="13">
        <f t="shared" si="35"/>
        <v>23.31</v>
      </c>
      <c r="P493" s="13">
        <f>_xlfn.XLOOKUP(Orders[[#This Row],[Product ID]],products!$A$1:$A$49,products!$G$1:$G$49,,0)</f>
        <v>0.50505</v>
      </c>
      <c r="Q493" s="13">
        <f t="shared" si="36"/>
        <v>3.0303</v>
      </c>
      <c r="R493" t="str">
        <f t="shared" si="38"/>
        <v>Liberica</v>
      </c>
      <c r="S493" t="str">
        <f t="shared" si="39"/>
        <v>Dark</v>
      </c>
      <c r="T493" t="str">
        <f>_xlfn.XLOOKUP(Orders[[#This Row],[Customer ID]],customers!$A$1:$A$1001,customers!$I$1:$I$1001,,0)</f>
        <v>No</v>
      </c>
    </row>
    <row r="494" spans="1:20" x14ac:dyDescent="0.35">
      <c r="A494" s="2" t="s">
        <v>3271</v>
      </c>
      <c r="B494" s="3">
        <v>44620</v>
      </c>
      <c r="C494" s="2" t="s">
        <v>3272</v>
      </c>
      <c r="D494" t="s">
        <v>6156</v>
      </c>
      <c r="E494" t="str">
        <f t="shared" si="37"/>
        <v>Excelsa-Medium-0.2</v>
      </c>
      <c r="F494" s="2">
        <v>1</v>
      </c>
      <c r="G494" s="2" t="str" cm="1">
        <f t="array" ref="G494">_xlfn.XLOOKUP(C494, customers!$A$1:A1493,customers!$B$1:B1493,,0)</f>
        <v>Uriah Lethbrig</v>
      </c>
      <c r="H494" s="2" t="str" cm="1">
        <f t="array" ref="H494">IF(_xlfn.XLOOKUP(C494,customers!$A$1:A1493,customers!$C$1:C1493,,0) = 0,"", _xlfn.XLOOKUP(C494,customers!$A$1:A1493,customers!$C$1:C1493,,0))</f>
        <v>ulethbrigdo@hc360.com</v>
      </c>
      <c r="I494" s="2" t="str">
        <f>_xlfn.XLOOKUP(C494,customers!$A$1:$A$1001,customers!$G$1:$G$1001,,0)</f>
        <v>United States</v>
      </c>
      <c r="J494" s="2" t="str">
        <f>_xlfn.XLOOKUP(Orders[[#This Row],[Customer ID]],customers!$A$1:$A$1001,customers!$F$1:$F$1001,,0)</f>
        <v>Milwaukee</v>
      </c>
      <c r="K494" t="str">
        <f>INDEX(products!$A$1:$G$49,MATCH(orders!$D494,products!$A$1:$A$49,0),MATCH(orders!K$1,products!$A$1:$G$1,0))</f>
        <v>Exc</v>
      </c>
      <c r="L494" t="str">
        <f>INDEX(products!$A$1:$G$49,MATCH(orders!$D494,products!$A$1:$A$49,0),MATCH(orders!L$1,products!$A$1:$G$1,0))</f>
        <v>M</v>
      </c>
      <c r="M494" s="14">
        <f>INDEX(products!$A$1:$G$49,MATCH(orders!$D494,products!$A$1:$A$49,0),MATCH(orders!M$1,products!$A$1:$G$1,0))</f>
        <v>0.2</v>
      </c>
      <c r="N494" s="4">
        <f>INDEX(products!$A$1:$G$49,MATCH(orders!$D494,products!$A$1:$A$49,0),MATCH(orders!N$1,products!$A$1:$G$1,0))</f>
        <v>4.125</v>
      </c>
      <c r="O494" s="13">
        <f t="shared" si="35"/>
        <v>4.125</v>
      </c>
      <c r="P494" s="13">
        <f>_xlfn.XLOOKUP(Orders[[#This Row],[Product ID]],products!$A$1:$A$49,products!$G$1:$G$49,,0)</f>
        <v>0.45374999999999999</v>
      </c>
      <c r="Q494" s="13">
        <f t="shared" si="36"/>
        <v>0.45374999999999999</v>
      </c>
      <c r="R494" t="str">
        <f t="shared" si="38"/>
        <v>Execelsa</v>
      </c>
      <c r="S494" t="str">
        <f t="shared" si="39"/>
        <v>Medium</v>
      </c>
      <c r="T494" t="str">
        <f>_xlfn.XLOOKUP(Orders[[#This Row],[Customer ID]],customers!$A$1:$A$1001,customers!$I$1:$I$1001,,0)</f>
        <v>Yes</v>
      </c>
    </row>
    <row r="495" spans="1:20" x14ac:dyDescent="0.35">
      <c r="A495" s="2" t="s">
        <v>3277</v>
      </c>
      <c r="B495" s="3">
        <v>44090</v>
      </c>
      <c r="C495" s="2" t="s">
        <v>3278</v>
      </c>
      <c r="D495" t="s">
        <v>6146</v>
      </c>
      <c r="E495" t="str">
        <f t="shared" si="37"/>
        <v>Robusta-Medium-0.5</v>
      </c>
      <c r="F495" s="2">
        <v>6</v>
      </c>
      <c r="G495" s="2" t="str" cm="1">
        <f t="array" ref="G495">_xlfn.XLOOKUP(C495, customers!$A$1:A1494,customers!$B$1:B1494,,0)</f>
        <v>Sky Farnish</v>
      </c>
      <c r="H495" s="2" t="str" cm="1">
        <f t="array" ref="H495">IF(_xlfn.XLOOKUP(C495,customers!$A$1:A1494,customers!$C$1:C1494,,0) = 0,"", _xlfn.XLOOKUP(C495,customers!$A$1:A1494,customers!$C$1:C1494,,0))</f>
        <v>sfarnishdp@dmoz.org</v>
      </c>
      <c r="I495" s="2" t="str">
        <f>_xlfn.XLOOKUP(C495,customers!$A$1:$A$1001,customers!$G$1:$G$1001,,0)</f>
        <v>United Kingdom</v>
      </c>
      <c r="J495" s="2" t="str">
        <f>_xlfn.XLOOKUP(Orders[[#This Row],[Customer ID]],customers!$A$1:$A$1001,customers!$F$1:$F$1001,,0)</f>
        <v>Eaton</v>
      </c>
      <c r="K495" t="str">
        <f>INDEX(products!$A$1:$G$49,MATCH(orders!$D495,products!$A$1:$A$49,0),MATCH(orders!K$1,products!$A$1:$G$1,0))</f>
        <v>Rob</v>
      </c>
      <c r="L495" t="str">
        <f>INDEX(products!$A$1:$G$49,MATCH(orders!$D495,products!$A$1:$A$49,0),MATCH(orders!L$1,products!$A$1:$G$1,0))</f>
        <v>M</v>
      </c>
      <c r="M495" s="14">
        <f>INDEX(products!$A$1:$G$49,MATCH(orders!$D495,products!$A$1:$A$49,0),MATCH(orders!M$1,products!$A$1:$G$1,0))</f>
        <v>0.5</v>
      </c>
      <c r="N495" s="4">
        <f>INDEX(products!$A$1:$G$49,MATCH(orders!$D495,products!$A$1:$A$49,0),MATCH(orders!N$1,products!$A$1:$G$1,0))</f>
        <v>5.97</v>
      </c>
      <c r="O495" s="13">
        <f t="shared" si="35"/>
        <v>35.82</v>
      </c>
      <c r="P495" s="13">
        <f>_xlfn.XLOOKUP(Orders[[#This Row],[Product ID]],products!$A$1:$A$49,products!$G$1:$G$49,,0)</f>
        <v>0.35819999999999996</v>
      </c>
      <c r="Q495" s="13">
        <f t="shared" si="36"/>
        <v>2.1491999999999996</v>
      </c>
      <c r="R495" t="str">
        <f t="shared" si="38"/>
        <v>Robusta</v>
      </c>
      <c r="S495" t="str">
        <f t="shared" si="39"/>
        <v>Medium</v>
      </c>
      <c r="T495" t="str">
        <f>_xlfn.XLOOKUP(Orders[[#This Row],[Customer ID]],customers!$A$1:$A$1001,customers!$I$1:$I$1001,,0)</f>
        <v>No</v>
      </c>
    </row>
    <row r="496" spans="1:20" x14ac:dyDescent="0.35">
      <c r="A496" s="2" t="s">
        <v>3283</v>
      </c>
      <c r="B496" s="3">
        <v>44132</v>
      </c>
      <c r="C496" s="2" t="s">
        <v>3284</v>
      </c>
      <c r="D496" t="s">
        <v>6170</v>
      </c>
      <c r="E496" t="str">
        <f t="shared" si="37"/>
        <v>Liberica-Light-1</v>
      </c>
      <c r="F496" s="2">
        <v>2</v>
      </c>
      <c r="G496" s="2" t="str" cm="1">
        <f t="array" ref="G496">_xlfn.XLOOKUP(C496, customers!$A$1:A1495,customers!$B$1:B1495,,0)</f>
        <v>Felicia Jecock</v>
      </c>
      <c r="H496" s="2" t="str" cm="1">
        <f t="array" ref="H496">IF(_xlfn.XLOOKUP(C496,customers!$A$1:A1495,customers!$C$1:C1495,,0) = 0,"", _xlfn.XLOOKUP(C496,customers!$A$1:A1495,customers!$C$1:C1495,,0))</f>
        <v>fjecockdq@unicef.org</v>
      </c>
      <c r="I496" s="2" t="str">
        <f>_xlfn.XLOOKUP(C496,customers!$A$1:$A$1001,customers!$G$1:$G$1001,,0)</f>
        <v>United States</v>
      </c>
      <c r="J496" s="2" t="str">
        <f>_xlfn.XLOOKUP(Orders[[#This Row],[Customer ID]],customers!$A$1:$A$1001,customers!$F$1:$F$1001,,0)</f>
        <v>Baton Rouge</v>
      </c>
      <c r="K496" t="str">
        <f>INDEX(products!$A$1:$G$49,MATCH(orders!$D496,products!$A$1:$A$49,0),MATCH(orders!K$1,products!$A$1:$G$1,0))</f>
        <v>Lib</v>
      </c>
      <c r="L496" t="str">
        <f>INDEX(products!$A$1:$G$49,MATCH(orders!$D496,products!$A$1:$A$49,0),MATCH(orders!L$1,products!$A$1:$G$1,0))</f>
        <v>L</v>
      </c>
      <c r="M496" s="14">
        <f>INDEX(products!$A$1:$G$49,MATCH(orders!$D496,products!$A$1:$A$49,0),MATCH(orders!M$1,products!$A$1:$G$1,0))</f>
        <v>1</v>
      </c>
      <c r="N496" s="4">
        <f>INDEX(products!$A$1:$G$49,MATCH(orders!$D496,products!$A$1:$A$49,0),MATCH(orders!N$1,products!$A$1:$G$1,0))</f>
        <v>15.85</v>
      </c>
      <c r="O496" s="13">
        <f t="shared" si="35"/>
        <v>31.7</v>
      </c>
      <c r="P496" s="13">
        <f>_xlfn.XLOOKUP(Orders[[#This Row],[Product ID]],products!$A$1:$A$49,products!$G$1:$G$49,,0)</f>
        <v>2.0605000000000002</v>
      </c>
      <c r="Q496" s="13">
        <f t="shared" si="36"/>
        <v>4.1210000000000004</v>
      </c>
      <c r="R496" t="str">
        <f t="shared" si="38"/>
        <v>Liberica</v>
      </c>
      <c r="S496" t="str">
        <f t="shared" si="39"/>
        <v>Light</v>
      </c>
      <c r="T496" t="str">
        <f>_xlfn.XLOOKUP(Orders[[#This Row],[Customer ID]],customers!$A$1:$A$1001,customers!$I$1:$I$1001,,0)</f>
        <v>No</v>
      </c>
    </row>
    <row r="497" spans="1:20" x14ac:dyDescent="0.35">
      <c r="A497" s="2" t="s">
        <v>3289</v>
      </c>
      <c r="B497" s="3">
        <v>43710</v>
      </c>
      <c r="C497" s="2" t="s">
        <v>3290</v>
      </c>
      <c r="D497" t="s">
        <v>6170</v>
      </c>
      <c r="E497" t="str">
        <f t="shared" si="37"/>
        <v>Liberica-Light-1</v>
      </c>
      <c r="F497" s="2">
        <v>5</v>
      </c>
      <c r="G497" s="2" t="str" cm="1">
        <f t="array" ref="G497">_xlfn.XLOOKUP(C497, customers!$A$1:A1496,customers!$B$1:B1496,,0)</f>
        <v>Currey MacAllister</v>
      </c>
      <c r="H497" s="2" t="str" cm="1">
        <f t="array" ref="H497">IF(_xlfn.XLOOKUP(C497,customers!$A$1:A1496,customers!$C$1:C1496,,0) = 0,"", _xlfn.XLOOKUP(C497,customers!$A$1:A1496,customers!$C$1:C1496,,0))</f>
        <v/>
      </c>
      <c r="I497" s="2" t="str">
        <f>_xlfn.XLOOKUP(C497,customers!$A$1:$A$1001,customers!$G$1:$G$1001,,0)</f>
        <v>United States</v>
      </c>
      <c r="J497" s="2" t="str">
        <f>_xlfn.XLOOKUP(Orders[[#This Row],[Customer ID]],customers!$A$1:$A$1001,customers!$F$1:$F$1001,,0)</f>
        <v>Danbury</v>
      </c>
      <c r="K497" t="str">
        <f>INDEX(products!$A$1:$G$49,MATCH(orders!$D497,products!$A$1:$A$49,0),MATCH(orders!K$1,products!$A$1:$G$1,0))</f>
        <v>Lib</v>
      </c>
      <c r="L497" t="str">
        <f>INDEX(products!$A$1:$G$49,MATCH(orders!$D497,products!$A$1:$A$49,0),MATCH(orders!L$1,products!$A$1:$G$1,0))</f>
        <v>L</v>
      </c>
      <c r="M497" s="14">
        <f>INDEX(products!$A$1:$G$49,MATCH(orders!$D497,products!$A$1:$A$49,0),MATCH(orders!M$1,products!$A$1:$G$1,0))</f>
        <v>1</v>
      </c>
      <c r="N497" s="4">
        <f>INDEX(products!$A$1:$G$49,MATCH(orders!$D497,products!$A$1:$A$49,0),MATCH(orders!N$1,products!$A$1:$G$1,0))</f>
        <v>15.85</v>
      </c>
      <c r="O497" s="13">
        <f t="shared" si="35"/>
        <v>79.25</v>
      </c>
      <c r="P497" s="13">
        <f>_xlfn.XLOOKUP(Orders[[#This Row],[Product ID]],products!$A$1:$A$49,products!$G$1:$G$49,,0)</f>
        <v>2.0605000000000002</v>
      </c>
      <c r="Q497" s="13">
        <f t="shared" si="36"/>
        <v>10.302500000000002</v>
      </c>
      <c r="R497" t="str">
        <f t="shared" si="38"/>
        <v>Liberica</v>
      </c>
      <c r="S497" t="str">
        <f t="shared" si="39"/>
        <v>Light</v>
      </c>
      <c r="T497" t="str">
        <f>_xlfn.XLOOKUP(Orders[[#This Row],[Customer ID]],customers!$A$1:$A$1001,customers!$I$1:$I$1001,,0)</f>
        <v>Yes</v>
      </c>
    </row>
    <row r="498" spans="1:20" x14ac:dyDescent="0.35">
      <c r="A498" s="2" t="s">
        <v>3294</v>
      </c>
      <c r="B498" s="3">
        <v>44438</v>
      </c>
      <c r="C498" s="2" t="s">
        <v>3295</v>
      </c>
      <c r="D498" t="s">
        <v>6153</v>
      </c>
      <c r="E498" t="str">
        <f t="shared" si="37"/>
        <v>Excelsa-Dark-0.2</v>
      </c>
      <c r="F498" s="2">
        <v>3</v>
      </c>
      <c r="G498" s="2" t="str" cm="1">
        <f t="array" ref="G498">_xlfn.XLOOKUP(C498, customers!$A$1:A1497,customers!$B$1:B1497,,0)</f>
        <v>Hamlen Pallister</v>
      </c>
      <c r="H498" s="2" t="str" cm="1">
        <f t="array" ref="H498">IF(_xlfn.XLOOKUP(C498,customers!$A$1:A1497,customers!$C$1:C1497,,0) = 0,"", _xlfn.XLOOKUP(C498,customers!$A$1:A1497,customers!$C$1:C1497,,0))</f>
        <v>hpallisterds@ning.com</v>
      </c>
      <c r="I498" s="2" t="str">
        <f>_xlfn.XLOOKUP(C498,customers!$A$1:$A$1001,customers!$G$1:$G$1001,,0)</f>
        <v>United States</v>
      </c>
      <c r="J498" s="2" t="str">
        <f>_xlfn.XLOOKUP(Orders[[#This Row],[Customer ID]],customers!$A$1:$A$1001,customers!$F$1:$F$1001,,0)</f>
        <v>Pensacola</v>
      </c>
      <c r="K498" t="str">
        <f>INDEX(products!$A$1:$G$49,MATCH(orders!$D498,products!$A$1:$A$49,0),MATCH(orders!K$1,products!$A$1:$G$1,0))</f>
        <v>Exc</v>
      </c>
      <c r="L498" t="str">
        <f>INDEX(products!$A$1:$G$49,MATCH(orders!$D498,products!$A$1:$A$49,0),MATCH(orders!L$1,products!$A$1:$G$1,0))</f>
        <v>D</v>
      </c>
      <c r="M498" s="14">
        <f>INDEX(products!$A$1:$G$49,MATCH(orders!$D498,products!$A$1:$A$49,0),MATCH(orders!M$1,products!$A$1:$G$1,0))</f>
        <v>0.2</v>
      </c>
      <c r="N498" s="4">
        <f>INDEX(products!$A$1:$G$49,MATCH(orders!$D498,products!$A$1:$A$49,0),MATCH(orders!N$1,products!$A$1:$G$1,0))</f>
        <v>3.645</v>
      </c>
      <c r="O498" s="13">
        <f t="shared" si="35"/>
        <v>10.935</v>
      </c>
      <c r="P498" s="13">
        <f>_xlfn.XLOOKUP(Orders[[#This Row],[Product ID]],products!$A$1:$A$49,products!$G$1:$G$49,,0)</f>
        <v>0.40095000000000003</v>
      </c>
      <c r="Q498" s="13">
        <f t="shared" si="36"/>
        <v>1.2028500000000002</v>
      </c>
      <c r="R498" t="str">
        <f t="shared" si="38"/>
        <v>Execelsa</v>
      </c>
      <c r="S498" t="str">
        <f t="shared" si="39"/>
        <v>Dark</v>
      </c>
      <c r="T498" t="str">
        <f>_xlfn.XLOOKUP(Orders[[#This Row],[Customer ID]],customers!$A$1:$A$1001,customers!$I$1:$I$1001,,0)</f>
        <v>No</v>
      </c>
    </row>
    <row r="499" spans="1:20" x14ac:dyDescent="0.35">
      <c r="A499" s="2" t="s">
        <v>3300</v>
      </c>
      <c r="B499" s="3">
        <v>44351</v>
      </c>
      <c r="C499" s="2" t="s">
        <v>3301</v>
      </c>
      <c r="D499" t="s">
        <v>6147</v>
      </c>
      <c r="E499" t="str">
        <f t="shared" si="37"/>
        <v>Arabica-Dark-1</v>
      </c>
      <c r="F499" s="2">
        <v>4</v>
      </c>
      <c r="G499" s="2" t="str" cm="1">
        <f t="array" ref="G499">_xlfn.XLOOKUP(C499, customers!$A$1:A1498,customers!$B$1:B1498,,0)</f>
        <v>Chantal Mersh</v>
      </c>
      <c r="H499" s="2" t="str" cm="1">
        <f t="array" ref="H499">IF(_xlfn.XLOOKUP(C499,customers!$A$1:A1498,customers!$C$1:C1498,,0) = 0,"", _xlfn.XLOOKUP(C499,customers!$A$1:A1498,customers!$C$1:C1498,,0))</f>
        <v>cmershdt@drupal.org</v>
      </c>
      <c r="I499" s="2" t="str">
        <f>_xlfn.XLOOKUP(C499,customers!$A$1:$A$1001,customers!$G$1:$G$1001,,0)</f>
        <v>Ireland</v>
      </c>
      <c r="J499" s="2" t="str">
        <f>_xlfn.XLOOKUP(Orders[[#This Row],[Customer ID]],customers!$A$1:$A$1001,customers!$F$1:$F$1001,,0)</f>
        <v>Milltown</v>
      </c>
      <c r="K499" t="str">
        <f>INDEX(products!$A$1:$G$49,MATCH(orders!$D499,products!$A$1:$A$49,0),MATCH(orders!K$1,products!$A$1:$G$1,0))</f>
        <v>Ara</v>
      </c>
      <c r="L499" t="str">
        <f>INDEX(products!$A$1:$G$49,MATCH(orders!$D499,products!$A$1:$A$49,0),MATCH(orders!L$1,products!$A$1:$G$1,0))</f>
        <v>D</v>
      </c>
      <c r="M499" s="14">
        <f>INDEX(products!$A$1:$G$49,MATCH(orders!$D499,products!$A$1:$A$49,0),MATCH(orders!M$1,products!$A$1:$G$1,0))</f>
        <v>1</v>
      </c>
      <c r="N499" s="4">
        <f>INDEX(products!$A$1:$G$49,MATCH(orders!$D499,products!$A$1:$A$49,0),MATCH(orders!N$1,products!$A$1:$G$1,0))</f>
        <v>9.9499999999999993</v>
      </c>
      <c r="O499" s="13">
        <f t="shared" si="35"/>
        <v>39.799999999999997</v>
      </c>
      <c r="P499" s="13">
        <f>_xlfn.XLOOKUP(Orders[[#This Row],[Product ID]],products!$A$1:$A$49,products!$G$1:$G$49,,0)</f>
        <v>0.89549999999999985</v>
      </c>
      <c r="Q499" s="13">
        <f t="shared" si="36"/>
        <v>3.5819999999999994</v>
      </c>
      <c r="R499" t="str">
        <f t="shared" si="38"/>
        <v>Arabica</v>
      </c>
      <c r="S499" t="str">
        <f t="shared" si="39"/>
        <v>Dark</v>
      </c>
      <c r="T499" t="str">
        <f>_xlfn.XLOOKUP(Orders[[#This Row],[Customer ID]],customers!$A$1:$A$1001,customers!$I$1:$I$1001,,0)</f>
        <v>No</v>
      </c>
    </row>
    <row r="500" spans="1:20" x14ac:dyDescent="0.35">
      <c r="A500" s="2" t="s">
        <v>3307</v>
      </c>
      <c r="B500" s="3">
        <v>44159</v>
      </c>
      <c r="C500" s="2" t="s">
        <v>3368</v>
      </c>
      <c r="D500" t="s">
        <v>6138</v>
      </c>
      <c r="E500" t="str">
        <f t="shared" si="37"/>
        <v>Robusta-Medium-1</v>
      </c>
      <c r="F500" s="2">
        <v>5</v>
      </c>
      <c r="G500" s="2" t="str" cm="1">
        <f t="array" ref="G500">_xlfn.XLOOKUP(C500, customers!$A$1:A1499,customers!$B$1:B1499,,0)</f>
        <v>Marja Urion</v>
      </c>
      <c r="H500" s="2" t="str" cm="1">
        <f t="array" ref="H500">IF(_xlfn.XLOOKUP(C500,customers!$A$1:A1499,customers!$C$1:C1499,,0) = 0,"", _xlfn.XLOOKUP(C500,customers!$A$1:A1499,customers!$C$1:C1499,,0))</f>
        <v>murione5@alexa.com</v>
      </c>
      <c r="I500" s="2" t="str">
        <f>_xlfn.XLOOKUP(C500,customers!$A$1:$A$1001,customers!$G$1:$G$1001,,0)</f>
        <v>Ireland</v>
      </c>
      <c r="J500" s="2" t="str">
        <f>_xlfn.XLOOKUP(Orders[[#This Row],[Customer ID]],customers!$A$1:$A$1001,customers!$F$1:$F$1001,,0)</f>
        <v>Virginia</v>
      </c>
      <c r="K500" t="str">
        <f>INDEX(products!$A$1:$G$49,MATCH(orders!$D500,products!$A$1:$A$49,0),MATCH(orders!K$1,products!$A$1:$G$1,0))</f>
        <v>Rob</v>
      </c>
      <c r="L500" t="str">
        <f>INDEX(products!$A$1:$G$49,MATCH(orders!$D500,products!$A$1:$A$49,0),MATCH(orders!L$1,products!$A$1:$G$1,0))</f>
        <v>M</v>
      </c>
      <c r="M500" s="14">
        <f>INDEX(products!$A$1:$G$49,MATCH(orders!$D500,products!$A$1:$A$49,0),MATCH(orders!M$1,products!$A$1:$G$1,0))</f>
        <v>1</v>
      </c>
      <c r="N500" s="4">
        <f>INDEX(products!$A$1:$G$49,MATCH(orders!$D500,products!$A$1:$A$49,0),MATCH(orders!N$1,products!$A$1:$G$1,0))</f>
        <v>9.9499999999999993</v>
      </c>
      <c r="O500" s="13">
        <f t="shared" si="35"/>
        <v>49.75</v>
      </c>
      <c r="P500" s="13">
        <f>_xlfn.XLOOKUP(Orders[[#This Row],[Product ID]],products!$A$1:$A$49,products!$G$1:$G$49,,0)</f>
        <v>0.59699999999999998</v>
      </c>
      <c r="Q500" s="13">
        <f t="shared" si="36"/>
        <v>2.9849999999999999</v>
      </c>
      <c r="R500" t="str">
        <f t="shared" si="38"/>
        <v>Robusta</v>
      </c>
      <c r="S500" t="str">
        <f t="shared" si="39"/>
        <v>Medium</v>
      </c>
      <c r="T500" t="str">
        <f>_xlfn.XLOOKUP(Orders[[#This Row],[Customer ID]],customers!$A$1:$A$1001,customers!$I$1:$I$1001,,0)</f>
        <v>Yes</v>
      </c>
    </row>
    <row r="501" spans="1:20" x14ac:dyDescent="0.35">
      <c r="A501" s="2" t="s">
        <v>3313</v>
      </c>
      <c r="B501" s="3">
        <v>44003</v>
      </c>
      <c r="C501" s="2" t="s">
        <v>3314</v>
      </c>
      <c r="D501" t="s">
        <v>6163</v>
      </c>
      <c r="E501" t="str">
        <f t="shared" si="37"/>
        <v>Robusta-Dark-0.2</v>
      </c>
      <c r="F501" s="2">
        <v>3</v>
      </c>
      <c r="G501" s="2" t="str" cm="1">
        <f t="array" ref="G501">_xlfn.XLOOKUP(C501, customers!$A$1:A1500,customers!$B$1:B1500,,0)</f>
        <v>Malynda Purbrick</v>
      </c>
      <c r="H501" s="2" t="str" cm="1">
        <f t="array" ref="H501">IF(_xlfn.XLOOKUP(C501,customers!$A$1:A1500,customers!$C$1:C1500,,0) = 0,"", _xlfn.XLOOKUP(C501,customers!$A$1:A1500,customers!$C$1:C1500,,0))</f>
        <v/>
      </c>
      <c r="I501" s="2" t="str">
        <f>_xlfn.XLOOKUP(C501,customers!$A$1:$A$1001,customers!$G$1:$G$1001,,0)</f>
        <v>Ireland</v>
      </c>
      <c r="J501" s="2" t="str">
        <f>_xlfn.XLOOKUP(Orders[[#This Row],[Customer ID]],customers!$A$1:$A$1001,customers!$F$1:$F$1001,,0)</f>
        <v>Balally</v>
      </c>
      <c r="K501" t="str">
        <f>INDEX(products!$A$1:$G$49,MATCH(orders!$D501,products!$A$1:$A$49,0),MATCH(orders!K$1,products!$A$1:$G$1,0))</f>
        <v>Rob</v>
      </c>
      <c r="L501" t="str">
        <f>INDEX(products!$A$1:$G$49,MATCH(orders!$D501,products!$A$1:$A$49,0),MATCH(orders!L$1,products!$A$1:$G$1,0))</f>
        <v>D</v>
      </c>
      <c r="M501" s="14">
        <f>INDEX(products!$A$1:$G$49,MATCH(orders!$D501,products!$A$1:$A$49,0),MATCH(orders!M$1,products!$A$1:$G$1,0))</f>
        <v>0.2</v>
      </c>
      <c r="N501" s="4">
        <f>INDEX(products!$A$1:$G$49,MATCH(orders!$D501,products!$A$1:$A$49,0),MATCH(orders!N$1,products!$A$1:$G$1,0))</f>
        <v>2.6849999999999996</v>
      </c>
      <c r="O501" s="13">
        <f t="shared" si="35"/>
        <v>8.0549999999999997</v>
      </c>
      <c r="P501" s="13">
        <f>_xlfn.XLOOKUP(Orders[[#This Row],[Product ID]],products!$A$1:$A$49,products!$G$1:$G$49,,0)</f>
        <v>0.16109999999999997</v>
      </c>
      <c r="Q501" s="13">
        <f t="shared" si="36"/>
        <v>0.4832999999999999</v>
      </c>
      <c r="R501" t="str">
        <f t="shared" si="38"/>
        <v>Robusta</v>
      </c>
      <c r="S501" t="str">
        <f t="shared" si="39"/>
        <v>Dark</v>
      </c>
      <c r="T501" t="str">
        <f>_xlfn.XLOOKUP(Orders[[#This Row],[Customer ID]],customers!$A$1:$A$1001,customers!$I$1:$I$1001,,0)</f>
        <v>Yes</v>
      </c>
    </row>
    <row r="502" spans="1:20" x14ac:dyDescent="0.35">
      <c r="A502" s="2" t="s">
        <v>3318</v>
      </c>
      <c r="B502" s="3">
        <v>44025</v>
      </c>
      <c r="C502" s="2" t="s">
        <v>3319</v>
      </c>
      <c r="D502" t="s">
        <v>6179</v>
      </c>
      <c r="E502" t="str">
        <f t="shared" si="37"/>
        <v>Robusta-Light-1</v>
      </c>
      <c r="F502" s="2">
        <v>4</v>
      </c>
      <c r="G502" s="2" t="str" cm="1">
        <f t="array" ref="G502">_xlfn.XLOOKUP(C502, customers!$A$1:A1501,customers!$B$1:B1501,,0)</f>
        <v>Alf Housaman</v>
      </c>
      <c r="H502" s="2" t="str" cm="1">
        <f t="array" ref="H502">IF(_xlfn.XLOOKUP(C502,customers!$A$1:A1501,customers!$C$1:C1501,,0) = 0,"", _xlfn.XLOOKUP(C502,customers!$A$1:A1501,customers!$C$1:C1501,,0))</f>
        <v/>
      </c>
      <c r="I502" s="2" t="str">
        <f>_xlfn.XLOOKUP(C502,customers!$A$1:$A$1001,customers!$G$1:$G$1001,,0)</f>
        <v>United States</v>
      </c>
      <c r="J502" s="2" t="str">
        <f>_xlfn.XLOOKUP(Orders[[#This Row],[Customer ID]],customers!$A$1:$A$1001,customers!$F$1:$F$1001,,0)</f>
        <v>Grand Rapids</v>
      </c>
      <c r="K502" t="str">
        <f>INDEX(products!$A$1:$G$49,MATCH(orders!$D502,products!$A$1:$A$49,0),MATCH(orders!K$1,products!$A$1:$G$1,0))</f>
        <v>Rob</v>
      </c>
      <c r="L502" t="str">
        <f>INDEX(products!$A$1:$G$49,MATCH(orders!$D502,products!$A$1:$A$49,0),MATCH(orders!L$1,products!$A$1:$G$1,0))</f>
        <v>L</v>
      </c>
      <c r="M502" s="14">
        <f>INDEX(products!$A$1:$G$49,MATCH(orders!$D502,products!$A$1:$A$49,0),MATCH(orders!M$1,products!$A$1:$G$1,0))</f>
        <v>1</v>
      </c>
      <c r="N502" s="4">
        <f>INDEX(products!$A$1:$G$49,MATCH(orders!$D502,products!$A$1:$A$49,0),MATCH(orders!N$1,products!$A$1:$G$1,0))</f>
        <v>11.95</v>
      </c>
      <c r="O502" s="13">
        <f t="shared" si="35"/>
        <v>47.8</v>
      </c>
      <c r="P502" s="13">
        <f>_xlfn.XLOOKUP(Orders[[#This Row],[Product ID]],products!$A$1:$A$49,products!$G$1:$G$49,,0)</f>
        <v>0.71699999999999997</v>
      </c>
      <c r="Q502" s="13">
        <f t="shared" si="36"/>
        <v>2.8679999999999999</v>
      </c>
      <c r="R502" t="str">
        <f t="shared" si="38"/>
        <v>Robusta</v>
      </c>
      <c r="S502" t="str">
        <f t="shared" si="39"/>
        <v>Light</v>
      </c>
      <c r="T502" t="str">
        <f>_xlfn.XLOOKUP(Orders[[#This Row],[Customer ID]],customers!$A$1:$A$1001,customers!$I$1:$I$1001,,0)</f>
        <v>No</v>
      </c>
    </row>
    <row r="503" spans="1:20" x14ac:dyDescent="0.35">
      <c r="A503" s="2" t="s">
        <v>3323</v>
      </c>
      <c r="B503" s="3">
        <v>43467</v>
      </c>
      <c r="C503" s="2" t="s">
        <v>3324</v>
      </c>
      <c r="D503" t="s">
        <v>6174</v>
      </c>
      <c r="E503" t="str">
        <f t="shared" si="37"/>
        <v>Robusta-Medium-0.2</v>
      </c>
      <c r="F503" s="2">
        <v>4</v>
      </c>
      <c r="G503" s="2" t="str" cm="1">
        <f t="array" ref="G503">_xlfn.XLOOKUP(C503, customers!$A$1:A1502,customers!$B$1:B1502,,0)</f>
        <v>Gladi Ducker</v>
      </c>
      <c r="H503" s="2" t="str" cm="1">
        <f t="array" ref="H503">IF(_xlfn.XLOOKUP(C503,customers!$A$1:A1502,customers!$C$1:C1502,,0) = 0,"", _xlfn.XLOOKUP(C503,customers!$A$1:A1502,customers!$C$1:C1502,,0))</f>
        <v>gduckerdx@patch.com</v>
      </c>
      <c r="I503" s="2" t="str">
        <f>_xlfn.XLOOKUP(C503,customers!$A$1:$A$1001,customers!$G$1:$G$1001,,0)</f>
        <v>United Kingdom</v>
      </c>
      <c r="J503" s="2" t="str">
        <f>_xlfn.XLOOKUP(Orders[[#This Row],[Customer ID]],customers!$A$1:$A$1001,customers!$F$1:$F$1001,,0)</f>
        <v>Belfast</v>
      </c>
      <c r="K503" t="str">
        <f>INDEX(products!$A$1:$G$49,MATCH(orders!$D503,products!$A$1:$A$49,0),MATCH(orders!K$1,products!$A$1:$G$1,0))</f>
        <v>Rob</v>
      </c>
      <c r="L503" t="str">
        <f>INDEX(products!$A$1:$G$49,MATCH(orders!$D503,products!$A$1:$A$49,0),MATCH(orders!L$1,products!$A$1:$G$1,0))</f>
        <v>M</v>
      </c>
      <c r="M503" s="14">
        <f>INDEX(products!$A$1:$G$49,MATCH(orders!$D503,products!$A$1:$A$49,0),MATCH(orders!M$1,products!$A$1:$G$1,0))</f>
        <v>0.2</v>
      </c>
      <c r="N503" s="4">
        <f>INDEX(products!$A$1:$G$49,MATCH(orders!$D503,products!$A$1:$A$49,0),MATCH(orders!N$1,products!$A$1:$G$1,0))</f>
        <v>2.9849999999999999</v>
      </c>
      <c r="O503" s="13">
        <f t="shared" si="35"/>
        <v>11.94</v>
      </c>
      <c r="P503" s="13">
        <f>_xlfn.XLOOKUP(Orders[[#This Row],[Product ID]],products!$A$1:$A$49,products!$G$1:$G$49,,0)</f>
        <v>0.17909999999999998</v>
      </c>
      <c r="Q503" s="13">
        <f t="shared" si="36"/>
        <v>0.71639999999999993</v>
      </c>
      <c r="R503" t="str">
        <f t="shared" si="38"/>
        <v>Robusta</v>
      </c>
      <c r="S503" t="str">
        <f t="shared" si="39"/>
        <v>Medium</v>
      </c>
      <c r="T503" t="str">
        <f>_xlfn.XLOOKUP(Orders[[#This Row],[Customer ID]],customers!$A$1:$A$1001,customers!$I$1:$I$1001,,0)</f>
        <v>No</v>
      </c>
    </row>
    <row r="504" spans="1:20" x14ac:dyDescent="0.35">
      <c r="A504" s="2" t="s">
        <v>3323</v>
      </c>
      <c r="B504" s="3">
        <v>43467</v>
      </c>
      <c r="C504" s="2" t="s">
        <v>3324</v>
      </c>
      <c r="D504" t="s">
        <v>6156</v>
      </c>
      <c r="E504" t="str">
        <f t="shared" si="37"/>
        <v>Excelsa-Medium-0.2</v>
      </c>
      <c r="F504" s="2">
        <v>4</v>
      </c>
      <c r="G504" s="2" t="str" cm="1">
        <f t="array" ref="G504">_xlfn.XLOOKUP(C504, customers!$A$1:A1503,customers!$B$1:B1503,,0)</f>
        <v>Gladi Ducker</v>
      </c>
      <c r="H504" s="2" t="str" cm="1">
        <f t="array" ref="H504">IF(_xlfn.XLOOKUP(C504,customers!$A$1:A1503,customers!$C$1:C1503,,0) = 0,"", _xlfn.XLOOKUP(C504,customers!$A$1:A1503,customers!$C$1:C1503,,0))</f>
        <v>gduckerdx@patch.com</v>
      </c>
      <c r="I504" s="2" t="str">
        <f>_xlfn.XLOOKUP(C504,customers!$A$1:$A$1001,customers!$G$1:$G$1001,,0)</f>
        <v>United Kingdom</v>
      </c>
      <c r="J504" s="2" t="str">
        <f>_xlfn.XLOOKUP(Orders[[#This Row],[Customer ID]],customers!$A$1:$A$1001,customers!$F$1:$F$1001,,0)</f>
        <v>Belfast</v>
      </c>
      <c r="K504" t="str">
        <f>INDEX(products!$A$1:$G$49,MATCH(orders!$D504,products!$A$1:$A$49,0),MATCH(orders!K$1,products!$A$1:$G$1,0))</f>
        <v>Exc</v>
      </c>
      <c r="L504" t="str">
        <f>INDEX(products!$A$1:$G$49,MATCH(orders!$D504,products!$A$1:$A$49,0),MATCH(orders!L$1,products!$A$1:$G$1,0))</f>
        <v>M</v>
      </c>
      <c r="M504" s="14">
        <f>INDEX(products!$A$1:$G$49,MATCH(orders!$D504,products!$A$1:$A$49,0),MATCH(orders!M$1,products!$A$1:$G$1,0))</f>
        <v>0.2</v>
      </c>
      <c r="N504" s="4">
        <f>INDEX(products!$A$1:$G$49,MATCH(orders!$D504,products!$A$1:$A$49,0),MATCH(orders!N$1,products!$A$1:$G$1,0))</f>
        <v>4.125</v>
      </c>
      <c r="O504" s="13">
        <f t="shared" si="35"/>
        <v>16.5</v>
      </c>
      <c r="P504" s="13">
        <f>_xlfn.XLOOKUP(Orders[[#This Row],[Product ID]],products!$A$1:$A$49,products!$G$1:$G$49,,0)</f>
        <v>0.45374999999999999</v>
      </c>
      <c r="Q504" s="13">
        <f t="shared" si="36"/>
        <v>1.8149999999999999</v>
      </c>
      <c r="R504" t="str">
        <f t="shared" si="38"/>
        <v>Execelsa</v>
      </c>
      <c r="S504" t="str">
        <f t="shared" si="39"/>
        <v>Medium</v>
      </c>
      <c r="T504" t="str">
        <f>_xlfn.XLOOKUP(Orders[[#This Row],[Customer ID]],customers!$A$1:$A$1001,customers!$I$1:$I$1001,,0)</f>
        <v>No</v>
      </c>
    </row>
    <row r="505" spans="1:20" x14ac:dyDescent="0.35">
      <c r="A505" s="2" t="s">
        <v>3323</v>
      </c>
      <c r="B505" s="3">
        <v>43467</v>
      </c>
      <c r="C505" s="2" t="s">
        <v>3324</v>
      </c>
      <c r="D505" t="s">
        <v>6143</v>
      </c>
      <c r="E505" t="str">
        <f t="shared" si="37"/>
        <v>Liberica-Dark-1</v>
      </c>
      <c r="F505" s="2">
        <v>4</v>
      </c>
      <c r="G505" s="2" t="str" cm="1">
        <f t="array" ref="G505">_xlfn.XLOOKUP(C505, customers!$A$1:A1504,customers!$B$1:B1504,,0)</f>
        <v>Gladi Ducker</v>
      </c>
      <c r="H505" s="2" t="str" cm="1">
        <f t="array" ref="H505">IF(_xlfn.XLOOKUP(C505,customers!$A$1:A1504,customers!$C$1:C1504,,0) = 0,"", _xlfn.XLOOKUP(C505,customers!$A$1:A1504,customers!$C$1:C1504,,0))</f>
        <v>gduckerdx@patch.com</v>
      </c>
      <c r="I505" s="2" t="str">
        <f>_xlfn.XLOOKUP(C505,customers!$A$1:$A$1001,customers!$G$1:$G$1001,,0)</f>
        <v>United Kingdom</v>
      </c>
      <c r="J505" s="2" t="str">
        <f>_xlfn.XLOOKUP(Orders[[#This Row],[Customer ID]],customers!$A$1:$A$1001,customers!$F$1:$F$1001,,0)</f>
        <v>Belfast</v>
      </c>
      <c r="K505" t="str">
        <f>INDEX(products!$A$1:$G$49,MATCH(orders!$D505,products!$A$1:$A$49,0),MATCH(orders!K$1,products!$A$1:$G$1,0))</f>
        <v>Lib</v>
      </c>
      <c r="L505" t="str">
        <f>INDEX(products!$A$1:$G$49,MATCH(orders!$D505,products!$A$1:$A$49,0),MATCH(orders!L$1,products!$A$1:$G$1,0))</f>
        <v>D</v>
      </c>
      <c r="M505" s="14">
        <f>INDEX(products!$A$1:$G$49,MATCH(orders!$D505,products!$A$1:$A$49,0),MATCH(orders!M$1,products!$A$1:$G$1,0))</f>
        <v>1</v>
      </c>
      <c r="N505" s="4">
        <f>INDEX(products!$A$1:$G$49,MATCH(orders!$D505,products!$A$1:$A$49,0),MATCH(orders!N$1,products!$A$1:$G$1,0))</f>
        <v>12.95</v>
      </c>
      <c r="O505" s="13">
        <f t="shared" si="35"/>
        <v>51.8</v>
      </c>
      <c r="P505" s="13">
        <f>_xlfn.XLOOKUP(Orders[[#This Row],[Product ID]],products!$A$1:$A$49,products!$G$1:$G$49,,0)</f>
        <v>1.6835</v>
      </c>
      <c r="Q505" s="13">
        <f t="shared" si="36"/>
        <v>6.734</v>
      </c>
      <c r="R505" t="str">
        <f t="shared" si="38"/>
        <v>Liberica</v>
      </c>
      <c r="S505" t="str">
        <f t="shared" si="39"/>
        <v>Dark</v>
      </c>
      <c r="T505" t="str">
        <f>_xlfn.XLOOKUP(Orders[[#This Row],[Customer ID]],customers!$A$1:$A$1001,customers!$I$1:$I$1001,,0)</f>
        <v>No</v>
      </c>
    </row>
    <row r="506" spans="1:20" x14ac:dyDescent="0.35">
      <c r="A506" s="2" t="s">
        <v>3323</v>
      </c>
      <c r="B506" s="3">
        <v>43467</v>
      </c>
      <c r="C506" s="2" t="s">
        <v>3324</v>
      </c>
      <c r="D506" t="s">
        <v>6145</v>
      </c>
      <c r="E506" t="str">
        <f t="shared" si="37"/>
        <v>Liberica-Light-0.2</v>
      </c>
      <c r="F506" s="2">
        <v>3</v>
      </c>
      <c r="G506" s="2" t="str" cm="1">
        <f t="array" ref="G506">_xlfn.XLOOKUP(C506, customers!$A$1:A1505,customers!$B$1:B1505,,0)</f>
        <v>Gladi Ducker</v>
      </c>
      <c r="H506" s="2" t="str" cm="1">
        <f t="array" ref="H506">IF(_xlfn.XLOOKUP(C506,customers!$A$1:A1505,customers!$C$1:C1505,,0) = 0,"", _xlfn.XLOOKUP(C506,customers!$A$1:A1505,customers!$C$1:C1505,,0))</f>
        <v>gduckerdx@patch.com</v>
      </c>
      <c r="I506" s="2" t="str">
        <f>_xlfn.XLOOKUP(C506,customers!$A$1:$A$1001,customers!$G$1:$G$1001,,0)</f>
        <v>United Kingdom</v>
      </c>
      <c r="J506" s="2" t="str">
        <f>_xlfn.XLOOKUP(Orders[[#This Row],[Customer ID]],customers!$A$1:$A$1001,customers!$F$1:$F$1001,,0)</f>
        <v>Belfast</v>
      </c>
      <c r="K506" t="str">
        <f>INDEX(products!$A$1:$G$49,MATCH(orders!$D506,products!$A$1:$A$49,0),MATCH(orders!K$1,products!$A$1:$G$1,0))</f>
        <v>Lib</v>
      </c>
      <c r="L506" t="str">
        <f>INDEX(products!$A$1:$G$49,MATCH(orders!$D506,products!$A$1:$A$49,0),MATCH(orders!L$1,products!$A$1:$G$1,0))</f>
        <v>L</v>
      </c>
      <c r="M506" s="14">
        <f>INDEX(products!$A$1:$G$49,MATCH(orders!$D506,products!$A$1:$A$49,0),MATCH(orders!M$1,products!$A$1:$G$1,0))</f>
        <v>0.2</v>
      </c>
      <c r="N506" s="4">
        <f>INDEX(products!$A$1:$G$49,MATCH(orders!$D506,products!$A$1:$A$49,0),MATCH(orders!N$1,products!$A$1:$G$1,0))</f>
        <v>4.7549999999999999</v>
      </c>
      <c r="O506" s="13">
        <f t="shared" si="35"/>
        <v>14.265000000000001</v>
      </c>
      <c r="P506" s="13">
        <f>_xlfn.XLOOKUP(Orders[[#This Row],[Product ID]],products!$A$1:$A$49,products!$G$1:$G$49,,0)</f>
        <v>0.61814999999999998</v>
      </c>
      <c r="Q506" s="13">
        <f t="shared" si="36"/>
        <v>1.8544499999999999</v>
      </c>
      <c r="R506" t="str">
        <f t="shared" si="38"/>
        <v>Liberica</v>
      </c>
      <c r="S506" t="str">
        <f t="shared" si="39"/>
        <v>Light</v>
      </c>
      <c r="T506" t="str">
        <f>_xlfn.XLOOKUP(Orders[[#This Row],[Customer ID]],customers!$A$1:$A$1001,customers!$I$1:$I$1001,,0)</f>
        <v>No</v>
      </c>
    </row>
    <row r="507" spans="1:20" x14ac:dyDescent="0.35">
      <c r="A507" s="2" t="s">
        <v>3343</v>
      </c>
      <c r="B507" s="3">
        <v>44609</v>
      </c>
      <c r="C507" s="2" t="s">
        <v>3344</v>
      </c>
      <c r="D507" t="s">
        <v>6159</v>
      </c>
      <c r="E507" t="str">
        <f t="shared" si="37"/>
        <v>Liberica-Medium-0.2</v>
      </c>
      <c r="F507" s="2">
        <v>6</v>
      </c>
      <c r="G507" s="2" t="str" cm="1">
        <f t="array" ref="G507">_xlfn.XLOOKUP(C507, customers!$A$1:A1506,customers!$B$1:B1506,,0)</f>
        <v>Wain Stearley</v>
      </c>
      <c r="H507" s="2" t="str" cm="1">
        <f t="array" ref="H507">IF(_xlfn.XLOOKUP(C507,customers!$A$1:A1506,customers!$C$1:C1506,,0) = 0,"", _xlfn.XLOOKUP(C507,customers!$A$1:A1506,customers!$C$1:C1506,,0))</f>
        <v>wstearleye1@census.gov</v>
      </c>
      <c r="I507" s="2" t="str">
        <f>_xlfn.XLOOKUP(C507,customers!$A$1:$A$1001,customers!$G$1:$G$1001,,0)</f>
        <v>United States</v>
      </c>
      <c r="J507" s="2" t="str">
        <f>_xlfn.XLOOKUP(Orders[[#This Row],[Customer ID]],customers!$A$1:$A$1001,customers!$F$1:$F$1001,,0)</f>
        <v>High Point</v>
      </c>
      <c r="K507" t="str">
        <f>INDEX(products!$A$1:$G$49,MATCH(orders!$D507,products!$A$1:$A$49,0),MATCH(orders!K$1,products!$A$1:$G$1,0))</f>
        <v>Lib</v>
      </c>
      <c r="L507" t="str">
        <f>INDEX(products!$A$1:$G$49,MATCH(orders!$D507,products!$A$1:$A$49,0),MATCH(orders!L$1,products!$A$1:$G$1,0))</f>
        <v>M</v>
      </c>
      <c r="M507" s="14">
        <f>INDEX(products!$A$1:$G$49,MATCH(orders!$D507,products!$A$1:$A$49,0),MATCH(orders!M$1,products!$A$1:$G$1,0))</f>
        <v>0.2</v>
      </c>
      <c r="N507" s="4">
        <f>INDEX(products!$A$1:$G$49,MATCH(orders!$D507,products!$A$1:$A$49,0),MATCH(orders!N$1,products!$A$1:$G$1,0))</f>
        <v>4.3650000000000002</v>
      </c>
      <c r="O507" s="13">
        <f t="shared" si="35"/>
        <v>26.19</v>
      </c>
      <c r="P507" s="13">
        <f>_xlfn.XLOOKUP(Orders[[#This Row],[Product ID]],products!$A$1:$A$49,products!$G$1:$G$49,,0)</f>
        <v>0.56745000000000001</v>
      </c>
      <c r="Q507" s="13">
        <f t="shared" si="36"/>
        <v>3.4047000000000001</v>
      </c>
      <c r="R507" t="str">
        <f t="shared" si="38"/>
        <v>Liberica</v>
      </c>
      <c r="S507" t="str">
        <f t="shared" si="39"/>
        <v>Medium</v>
      </c>
      <c r="T507" t="str">
        <f>_xlfn.XLOOKUP(Orders[[#This Row],[Customer ID]],customers!$A$1:$A$1001,customers!$I$1:$I$1001,,0)</f>
        <v>No</v>
      </c>
    </row>
    <row r="508" spans="1:20" x14ac:dyDescent="0.35">
      <c r="A508" s="2" t="s">
        <v>3349</v>
      </c>
      <c r="B508" s="3">
        <v>44184</v>
      </c>
      <c r="C508" s="2" t="s">
        <v>3350</v>
      </c>
      <c r="D508" t="s">
        <v>6140</v>
      </c>
      <c r="E508" t="str">
        <f t="shared" si="37"/>
        <v>Arabica-Light-1</v>
      </c>
      <c r="F508" s="2">
        <v>2</v>
      </c>
      <c r="G508" s="2" t="str" cm="1">
        <f t="array" ref="G508">_xlfn.XLOOKUP(C508, customers!$A$1:A1507,customers!$B$1:B1507,,0)</f>
        <v>Diane-marie Wincer</v>
      </c>
      <c r="H508" s="2" t="str" cm="1">
        <f t="array" ref="H508">IF(_xlfn.XLOOKUP(C508,customers!$A$1:A1507,customers!$C$1:C1507,,0) = 0,"", _xlfn.XLOOKUP(C508,customers!$A$1:A1507,customers!$C$1:C1507,,0))</f>
        <v>dwincere2@marriott.com</v>
      </c>
      <c r="I508" s="2" t="str">
        <f>_xlfn.XLOOKUP(C508,customers!$A$1:$A$1001,customers!$G$1:$G$1001,,0)</f>
        <v>United States</v>
      </c>
      <c r="J508" s="2" t="str">
        <f>_xlfn.XLOOKUP(Orders[[#This Row],[Customer ID]],customers!$A$1:$A$1001,customers!$F$1:$F$1001,,0)</f>
        <v>El Paso</v>
      </c>
      <c r="K508" t="str">
        <f>INDEX(products!$A$1:$G$49,MATCH(orders!$D508,products!$A$1:$A$49,0),MATCH(orders!K$1,products!$A$1:$G$1,0))</f>
        <v>Ara</v>
      </c>
      <c r="L508" t="str">
        <f>INDEX(products!$A$1:$G$49,MATCH(orders!$D508,products!$A$1:$A$49,0),MATCH(orders!L$1,products!$A$1:$G$1,0))</f>
        <v>L</v>
      </c>
      <c r="M508" s="14">
        <f>INDEX(products!$A$1:$G$49,MATCH(orders!$D508,products!$A$1:$A$49,0),MATCH(orders!M$1,products!$A$1:$G$1,0))</f>
        <v>1</v>
      </c>
      <c r="N508" s="4">
        <f>INDEX(products!$A$1:$G$49,MATCH(orders!$D508,products!$A$1:$A$49,0),MATCH(orders!N$1,products!$A$1:$G$1,0))</f>
        <v>12.95</v>
      </c>
      <c r="O508" s="13">
        <f t="shared" si="35"/>
        <v>25.9</v>
      </c>
      <c r="P508" s="13">
        <f>_xlfn.XLOOKUP(Orders[[#This Row],[Product ID]],products!$A$1:$A$49,products!$G$1:$G$49,,0)</f>
        <v>1.1655</v>
      </c>
      <c r="Q508" s="13">
        <f t="shared" si="36"/>
        <v>2.331</v>
      </c>
      <c r="R508" t="str">
        <f t="shared" si="38"/>
        <v>Arabica</v>
      </c>
      <c r="S508" t="str">
        <f t="shared" si="39"/>
        <v>Light</v>
      </c>
      <c r="T508" t="str">
        <f>_xlfn.XLOOKUP(Orders[[#This Row],[Customer ID]],customers!$A$1:$A$1001,customers!$I$1:$I$1001,,0)</f>
        <v>Yes</v>
      </c>
    </row>
    <row r="509" spans="1:20" x14ac:dyDescent="0.35">
      <c r="A509" s="2" t="s">
        <v>3355</v>
      </c>
      <c r="B509" s="3">
        <v>43516</v>
      </c>
      <c r="C509" s="2" t="s">
        <v>3356</v>
      </c>
      <c r="D509" t="s">
        <v>6182</v>
      </c>
      <c r="E509" t="str">
        <f t="shared" si="37"/>
        <v>Arabica-Light-2.5</v>
      </c>
      <c r="F509" s="2">
        <v>3</v>
      </c>
      <c r="G509" s="2" t="str" cm="1">
        <f t="array" ref="G509">_xlfn.XLOOKUP(C509, customers!$A$1:A1508,customers!$B$1:B1508,,0)</f>
        <v>Perry Lyfield</v>
      </c>
      <c r="H509" s="2" t="str" cm="1">
        <f t="array" ref="H509">IF(_xlfn.XLOOKUP(C509,customers!$A$1:A1508,customers!$C$1:C1508,,0) = 0,"", _xlfn.XLOOKUP(C509,customers!$A$1:A1508,customers!$C$1:C1508,,0))</f>
        <v>plyfielde3@baidu.com</v>
      </c>
      <c r="I509" s="2" t="str">
        <f>_xlfn.XLOOKUP(C509,customers!$A$1:$A$1001,customers!$G$1:$G$1001,,0)</f>
        <v>United States</v>
      </c>
      <c r="J509" s="2" t="str">
        <f>_xlfn.XLOOKUP(Orders[[#This Row],[Customer ID]],customers!$A$1:$A$1001,customers!$F$1:$F$1001,,0)</f>
        <v>Cleveland</v>
      </c>
      <c r="K509" t="str">
        <f>INDEX(products!$A$1:$G$49,MATCH(orders!$D509,products!$A$1:$A$49,0),MATCH(orders!K$1,products!$A$1:$G$1,0))</f>
        <v>Ara</v>
      </c>
      <c r="L509" t="str">
        <f>INDEX(products!$A$1:$G$49,MATCH(orders!$D509,products!$A$1:$A$49,0),MATCH(orders!L$1,products!$A$1:$G$1,0))</f>
        <v>L</v>
      </c>
      <c r="M509" s="14">
        <f>INDEX(products!$A$1:$G$49,MATCH(orders!$D509,products!$A$1:$A$49,0),MATCH(orders!M$1,products!$A$1:$G$1,0))</f>
        <v>2.5</v>
      </c>
      <c r="N509" s="4">
        <f>INDEX(products!$A$1:$G$49,MATCH(orders!$D509,products!$A$1:$A$49,0),MATCH(orders!N$1,products!$A$1:$G$1,0))</f>
        <v>29.784999999999997</v>
      </c>
      <c r="O509" s="13">
        <f t="shared" si="35"/>
        <v>89.35499999999999</v>
      </c>
      <c r="P509" s="13">
        <f>_xlfn.XLOOKUP(Orders[[#This Row],[Product ID]],products!$A$1:$A$49,products!$G$1:$G$49,,0)</f>
        <v>2.6806499999999995</v>
      </c>
      <c r="Q509" s="13">
        <f t="shared" si="36"/>
        <v>8.0419499999999982</v>
      </c>
      <c r="R509" t="str">
        <f t="shared" si="38"/>
        <v>Arabica</v>
      </c>
      <c r="S509" t="str">
        <f t="shared" si="39"/>
        <v>Light</v>
      </c>
      <c r="T509" t="str">
        <f>_xlfn.XLOOKUP(Orders[[#This Row],[Customer ID]],customers!$A$1:$A$1001,customers!$I$1:$I$1001,,0)</f>
        <v>Yes</v>
      </c>
    </row>
    <row r="510" spans="1:20" x14ac:dyDescent="0.35">
      <c r="A510" s="2" t="s">
        <v>3361</v>
      </c>
      <c r="B510" s="3">
        <v>44210</v>
      </c>
      <c r="C510" s="2" t="s">
        <v>3362</v>
      </c>
      <c r="D510" t="s">
        <v>6169</v>
      </c>
      <c r="E510" t="str">
        <f t="shared" si="37"/>
        <v>Liberica-Dark-0.5</v>
      </c>
      <c r="F510" s="2">
        <v>6</v>
      </c>
      <c r="G510" s="2" t="str" cm="1">
        <f t="array" ref="G510">_xlfn.XLOOKUP(C510, customers!$A$1:A1509,customers!$B$1:B1509,,0)</f>
        <v>Heall Perris</v>
      </c>
      <c r="H510" s="2" t="str" cm="1">
        <f t="array" ref="H510">IF(_xlfn.XLOOKUP(C510,customers!$A$1:A1509,customers!$C$1:C1509,,0) = 0,"", _xlfn.XLOOKUP(C510,customers!$A$1:A1509,customers!$C$1:C1509,,0))</f>
        <v>hperrise4@studiopress.com</v>
      </c>
      <c r="I510" s="2" t="str">
        <f>_xlfn.XLOOKUP(C510,customers!$A$1:$A$1001,customers!$G$1:$G$1001,,0)</f>
        <v>Ireland</v>
      </c>
      <c r="J510" s="2" t="str">
        <f>_xlfn.XLOOKUP(Orders[[#This Row],[Customer ID]],customers!$A$1:$A$1001,customers!$F$1:$F$1001,,0)</f>
        <v>Ballymahon</v>
      </c>
      <c r="K510" t="str">
        <f>INDEX(products!$A$1:$G$49,MATCH(orders!$D510,products!$A$1:$A$49,0),MATCH(orders!K$1,products!$A$1:$G$1,0))</f>
        <v>Lib</v>
      </c>
      <c r="L510" t="str">
        <f>INDEX(products!$A$1:$G$49,MATCH(orders!$D510,products!$A$1:$A$49,0),MATCH(orders!L$1,products!$A$1:$G$1,0))</f>
        <v>D</v>
      </c>
      <c r="M510" s="14">
        <f>INDEX(products!$A$1:$G$49,MATCH(orders!$D510,products!$A$1:$A$49,0),MATCH(orders!M$1,products!$A$1:$G$1,0))</f>
        <v>0.5</v>
      </c>
      <c r="N510" s="4">
        <f>INDEX(products!$A$1:$G$49,MATCH(orders!$D510,products!$A$1:$A$49,0),MATCH(orders!N$1,products!$A$1:$G$1,0))</f>
        <v>7.77</v>
      </c>
      <c r="O510" s="13">
        <f t="shared" si="35"/>
        <v>46.62</v>
      </c>
      <c r="P510" s="13">
        <f>_xlfn.XLOOKUP(Orders[[#This Row],[Product ID]],products!$A$1:$A$49,products!$G$1:$G$49,,0)</f>
        <v>1.0101</v>
      </c>
      <c r="Q510" s="13">
        <f t="shared" si="36"/>
        <v>6.0606</v>
      </c>
      <c r="R510" t="str">
        <f t="shared" si="38"/>
        <v>Liberica</v>
      </c>
      <c r="S510" t="str">
        <f t="shared" si="39"/>
        <v>Dark</v>
      </c>
      <c r="T510" t="str">
        <f>_xlfn.XLOOKUP(Orders[[#This Row],[Customer ID]],customers!$A$1:$A$1001,customers!$I$1:$I$1001,,0)</f>
        <v>No</v>
      </c>
    </row>
    <row r="511" spans="1:20" x14ac:dyDescent="0.35">
      <c r="A511" s="2" t="s">
        <v>3367</v>
      </c>
      <c r="B511" s="3">
        <v>43785</v>
      </c>
      <c r="C511" s="2" t="s">
        <v>3368</v>
      </c>
      <c r="D511" t="s">
        <v>6147</v>
      </c>
      <c r="E511" t="str">
        <f t="shared" si="37"/>
        <v>Arabica-Dark-1</v>
      </c>
      <c r="F511" s="2">
        <v>3</v>
      </c>
      <c r="G511" s="2" t="str" cm="1">
        <f t="array" ref="G511">_xlfn.XLOOKUP(C511, customers!$A$1:A1510,customers!$B$1:B1510,,0)</f>
        <v>Marja Urion</v>
      </c>
      <c r="H511" s="2" t="str" cm="1">
        <f t="array" ref="H511">IF(_xlfn.XLOOKUP(C511,customers!$A$1:A1510,customers!$C$1:C1510,,0) = 0,"", _xlfn.XLOOKUP(C511,customers!$A$1:A1510,customers!$C$1:C1510,,0))</f>
        <v>murione5@alexa.com</v>
      </c>
      <c r="I511" s="2" t="str">
        <f>_xlfn.XLOOKUP(C511,customers!$A$1:$A$1001,customers!$G$1:$G$1001,,0)</f>
        <v>Ireland</v>
      </c>
      <c r="J511" s="2" t="str">
        <f>_xlfn.XLOOKUP(Orders[[#This Row],[Customer ID]],customers!$A$1:$A$1001,customers!$F$1:$F$1001,,0)</f>
        <v>Virginia</v>
      </c>
      <c r="K511" t="str">
        <f>INDEX(products!$A$1:$G$49,MATCH(orders!$D511,products!$A$1:$A$49,0),MATCH(orders!K$1,products!$A$1:$G$1,0))</f>
        <v>Ara</v>
      </c>
      <c r="L511" t="str">
        <f>INDEX(products!$A$1:$G$49,MATCH(orders!$D511,products!$A$1:$A$49,0),MATCH(orders!L$1,products!$A$1:$G$1,0))</f>
        <v>D</v>
      </c>
      <c r="M511" s="14">
        <f>INDEX(products!$A$1:$G$49,MATCH(orders!$D511,products!$A$1:$A$49,0),MATCH(orders!M$1,products!$A$1:$G$1,0))</f>
        <v>1</v>
      </c>
      <c r="N511" s="4">
        <f>INDEX(products!$A$1:$G$49,MATCH(orders!$D511,products!$A$1:$A$49,0),MATCH(orders!N$1,products!$A$1:$G$1,0))</f>
        <v>9.9499999999999993</v>
      </c>
      <c r="O511" s="13">
        <f t="shared" si="35"/>
        <v>29.849999999999998</v>
      </c>
      <c r="P511" s="13">
        <f>_xlfn.XLOOKUP(Orders[[#This Row],[Product ID]],products!$A$1:$A$49,products!$G$1:$G$49,,0)</f>
        <v>0.89549999999999985</v>
      </c>
      <c r="Q511" s="13">
        <f t="shared" si="36"/>
        <v>2.6864999999999997</v>
      </c>
      <c r="R511" t="str">
        <f t="shared" si="38"/>
        <v>Arabica</v>
      </c>
      <c r="S511" t="str">
        <f t="shared" si="39"/>
        <v>Dark</v>
      </c>
      <c r="T511" t="str">
        <f>_xlfn.XLOOKUP(Orders[[#This Row],[Customer ID]],customers!$A$1:$A$1001,customers!$I$1:$I$1001,,0)</f>
        <v>Yes</v>
      </c>
    </row>
    <row r="512" spans="1:20" x14ac:dyDescent="0.35">
      <c r="A512" s="2" t="s">
        <v>3373</v>
      </c>
      <c r="B512" s="3">
        <v>43803</v>
      </c>
      <c r="C512" s="2" t="s">
        <v>3374</v>
      </c>
      <c r="D512" t="s">
        <v>6178</v>
      </c>
      <c r="E512" t="str">
        <f t="shared" si="37"/>
        <v>Robusta-Light-0.2</v>
      </c>
      <c r="F512" s="2">
        <v>3</v>
      </c>
      <c r="G512" s="2" t="str" cm="1">
        <f t="array" ref="G512">_xlfn.XLOOKUP(C512, customers!$A$1:A1511,customers!$B$1:B1511,,0)</f>
        <v>Camellia Kid</v>
      </c>
      <c r="H512" s="2" t="str" cm="1">
        <f t="array" ref="H512">IF(_xlfn.XLOOKUP(C512,customers!$A$1:A1511,customers!$C$1:C1511,,0) = 0,"", _xlfn.XLOOKUP(C512,customers!$A$1:A1511,customers!$C$1:C1511,,0))</f>
        <v>ckide6@narod.ru</v>
      </c>
      <c r="I512" s="2" t="str">
        <f>_xlfn.XLOOKUP(C512,customers!$A$1:$A$1001,customers!$G$1:$G$1001,,0)</f>
        <v>Ireland</v>
      </c>
      <c r="J512" s="2" t="str">
        <f>_xlfn.XLOOKUP(Orders[[#This Row],[Customer ID]],customers!$A$1:$A$1001,customers!$F$1:$F$1001,,0)</f>
        <v>Whitegate</v>
      </c>
      <c r="K512" t="str">
        <f>INDEX(products!$A$1:$G$49,MATCH(orders!$D512,products!$A$1:$A$49,0),MATCH(orders!K$1,products!$A$1:$G$1,0))</f>
        <v>Rob</v>
      </c>
      <c r="L512" t="str">
        <f>INDEX(products!$A$1:$G$49,MATCH(orders!$D512,products!$A$1:$A$49,0),MATCH(orders!L$1,products!$A$1:$G$1,0))</f>
        <v>L</v>
      </c>
      <c r="M512" s="14">
        <f>INDEX(products!$A$1:$G$49,MATCH(orders!$D512,products!$A$1:$A$49,0),MATCH(orders!M$1,products!$A$1:$G$1,0))</f>
        <v>0.2</v>
      </c>
      <c r="N512" s="4">
        <f>INDEX(products!$A$1:$G$49,MATCH(orders!$D512,products!$A$1:$A$49,0),MATCH(orders!N$1,products!$A$1:$G$1,0))</f>
        <v>3.5849999999999995</v>
      </c>
      <c r="O512" s="13">
        <f t="shared" si="35"/>
        <v>10.754999999999999</v>
      </c>
      <c r="P512" s="13">
        <f>_xlfn.XLOOKUP(Orders[[#This Row],[Product ID]],products!$A$1:$A$49,products!$G$1:$G$49,,0)</f>
        <v>0.21509999999999996</v>
      </c>
      <c r="Q512" s="13">
        <f t="shared" si="36"/>
        <v>0.64529999999999987</v>
      </c>
      <c r="R512" t="str">
        <f t="shared" si="38"/>
        <v>Robusta</v>
      </c>
      <c r="S512" t="str">
        <f t="shared" si="39"/>
        <v>Light</v>
      </c>
      <c r="T512" t="str">
        <f>_xlfn.XLOOKUP(Orders[[#This Row],[Customer ID]],customers!$A$1:$A$1001,customers!$I$1:$I$1001,,0)</f>
        <v>Yes</v>
      </c>
    </row>
    <row r="513" spans="1:20" x14ac:dyDescent="0.35">
      <c r="A513" s="2" t="s">
        <v>3379</v>
      </c>
      <c r="B513" s="3">
        <v>44043</v>
      </c>
      <c r="C513" s="2" t="s">
        <v>3380</v>
      </c>
      <c r="D513" t="s">
        <v>6152</v>
      </c>
      <c r="E513" t="str">
        <f t="shared" si="37"/>
        <v>Arabica-Medium-0.2</v>
      </c>
      <c r="F513" s="2">
        <v>4</v>
      </c>
      <c r="G513" s="2" t="str" cm="1">
        <f t="array" ref="G513">_xlfn.XLOOKUP(C513, customers!$A$1:A1512,customers!$B$1:B1512,,0)</f>
        <v>Carolann Beine</v>
      </c>
      <c r="H513" s="2" t="str" cm="1">
        <f t="array" ref="H513">IF(_xlfn.XLOOKUP(C513,customers!$A$1:A1512,customers!$C$1:C1512,,0) = 0,"", _xlfn.XLOOKUP(C513,customers!$A$1:A1512,customers!$C$1:C1512,,0))</f>
        <v>cbeinee7@xinhuanet.com</v>
      </c>
      <c r="I513" s="2" t="str">
        <f>_xlfn.XLOOKUP(C513,customers!$A$1:$A$1001,customers!$G$1:$G$1001,,0)</f>
        <v>United States</v>
      </c>
      <c r="J513" s="2" t="str">
        <f>_xlfn.XLOOKUP(Orders[[#This Row],[Customer ID]],customers!$A$1:$A$1001,customers!$F$1:$F$1001,,0)</f>
        <v>Birmingham</v>
      </c>
      <c r="K513" t="str">
        <f>INDEX(products!$A$1:$G$49,MATCH(orders!$D513,products!$A$1:$A$49,0),MATCH(orders!K$1,products!$A$1:$G$1,0))</f>
        <v>Ara</v>
      </c>
      <c r="L513" t="str">
        <f>INDEX(products!$A$1:$G$49,MATCH(orders!$D513,products!$A$1:$A$49,0),MATCH(orders!L$1,products!$A$1:$G$1,0))</f>
        <v>M</v>
      </c>
      <c r="M513" s="14">
        <f>INDEX(products!$A$1:$G$49,MATCH(orders!$D513,products!$A$1:$A$49,0),MATCH(orders!M$1,products!$A$1:$G$1,0))</f>
        <v>0.2</v>
      </c>
      <c r="N513" s="4">
        <f>INDEX(products!$A$1:$G$49,MATCH(orders!$D513,products!$A$1:$A$49,0),MATCH(orders!N$1,products!$A$1:$G$1,0))</f>
        <v>3.375</v>
      </c>
      <c r="O513" s="13">
        <f t="shared" si="35"/>
        <v>13.5</v>
      </c>
      <c r="P513" s="13">
        <f>_xlfn.XLOOKUP(Orders[[#This Row],[Product ID]],products!$A$1:$A$49,products!$G$1:$G$49,,0)</f>
        <v>0.30374999999999996</v>
      </c>
      <c r="Q513" s="13">
        <f t="shared" si="36"/>
        <v>1.2149999999999999</v>
      </c>
      <c r="R513" t="str">
        <f t="shared" si="38"/>
        <v>Arabica</v>
      </c>
      <c r="S513" t="str">
        <f t="shared" si="39"/>
        <v>Medium</v>
      </c>
      <c r="T513" t="str">
        <f>_xlfn.XLOOKUP(Orders[[#This Row],[Customer ID]],customers!$A$1:$A$1001,customers!$I$1:$I$1001,,0)</f>
        <v>Yes</v>
      </c>
    </row>
    <row r="514" spans="1:20" x14ac:dyDescent="0.35">
      <c r="A514" s="2" t="s">
        <v>3385</v>
      </c>
      <c r="B514" s="3">
        <v>43535</v>
      </c>
      <c r="C514" s="2" t="s">
        <v>3386</v>
      </c>
      <c r="D514" t="s">
        <v>6170</v>
      </c>
      <c r="E514" t="str">
        <f t="shared" si="37"/>
        <v>Liberica-Light-1</v>
      </c>
      <c r="F514" s="2">
        <v>3</v>
      </c>
      <c r="G514" s="2" t="str" cm="1">
        <f t="array" ref="G514">_xlfn.XLOOKUP(C514, customers!$A$1:A1513,customers!$B$1:B1513,,0)</f>
        <v>Celia Bakeup</v>
      </c>
      <c r="H514" s="2" t="str" cm="1">
        <f t="array" ref="H514">IF(_xlfn.XLOOKUP(C514,customers!$A$1:A1513,customers!$C$1:C1513,,0) = 0,"", _xlfn.XLOOKUP(C514,customers!$A$1:A1513,customers!$C$1:C1513,,0))</f>
        <v>cbakeupe8@globo.com</v>
      </c>
      <c r="I514" s="2" t="str">
        <f>_xlfn.XLOOKUP(C514,customers!$A$1:$A$1001,customers!$G$1:$G$1001,,0)</f>
        <v>United States</v>
      </c>
      <c r="J514" s="2" t="str">
        <f>_xlfn.XLOOKUP(Orders[[#This Row],[Customer ID]],customers!$A$1:$A$1001,customers!$F$1:$F$1001,,0)</f>
        <v>Saint Cloud</v>
      </c>
      <c r="K514" t="str">
        <f>INDEX(products!$A$1:$G$49,MATCH(orders!$D514,products!$A$1:$A$49,0),MATCH(orders!K$1,products!$A$1:$G$1,0))</f>
        <v>Lib</v>
      </c>
      <c r="L514" t="str">
        <f>INDEX(products!$A$1:$G$49,MATCH(orders!$D514,products!$A$1:$A$49,0),MATCH(orders!L$1,products!$A$1:$G$1,0))</f>
        <v>L</v>
      </c>
      <c r="M514" s="14">
        <f>INDEX(products!$A$1:$G$49,MATCH(orders!$D514,products!$A$1:$A$49,0),MATCH(orders!M$1,products!$A$1:$G$1,0))</f>
        <v>1</v>
      </c>
      <c r="N514" s="4">
        <f>INDEX(products!$A$1:$G$49,MATCH(orders!$D514,products!$A$1:$A$49,0),MATCH(orders!N$1,products!$A$1:$G$1,0))</f>
        <v>15.85</v>
      </c>
      <c r="O514" s="13">
        <f t="shared" ref="O514:O577" si="40">N514*F514</f>
        <v>47.55</v>
      </c>
      <c r="P514" s="13">
        <f>_xlfn.XLOOKUP(Orders[[#This Row],[Product ID]],products!$A$1:$A$49,products!$G$1:$G$49,,0)</f>
        <v>2.0605000000000002</v>
      </c>
      <c r="Q514" s="13">
        <f t="shared" ref="Q514:Q577" si="41">P514*F514</f>
        <v>6.1815000000000007</v>
      </c>
      <c r="R514" t="str">
        <f t="shared" si="38"/>
        <v>Liberica</v>
      </c>
      <c r="S514" t="str">
        <f t="shared" si="39"/>
        <v>Light</v>
      </c>
      <c r="T514" t="str">
        <f>_xlfn.XLOOKUP(Orders[[#This Row],[Customer ID]],customers!$A$1:$A$1001,customers!$I$1:$I$1001,,0)</f>
        <v>No</v>
      </c>
    </row>
    <row r="515" spans="1:20" x14ac:dyDescent="0.35">
      <c r="A515" s="2" t="s">
        <v>3391</v>
      </c>
      <c r="B515" s="3">
        <v>44691</v>
      </c>
      <c r="C515" s="2" t="s">
        <v>3392</v>
      </c>
      <c r="D515" t="s">
        <v>6170</v>
      </c>
      <c r="E515" t="str">
        <f t="shared" ref="E515:E578" si="42">IF(LEFT(D515,1)="R", "Robusta",
    IF(LEFT(D515,1)="A", "Arabica",
        IF(LEFT(D515,1)="E", "Excelsa",
            IF(LEFT(D515,1)="L", "Liberica", "")
        )
    )
) &amp; "-" &amp;
IF(MID(D515,3,1)="D", "Dark",
    IF(MID(D515,3,1)="M", "Medium",
        IF(MID(D515,3,1)="L", "Light", "")
    )
) &amp; "-" &amp;
MID(D515,5,LEN(D515)-4)</f>
        <v>Liberica-Light-1</v>
      </c>
      <c r="F515" s="2">
        <v>5</v>
      </c>
      <c r="G515" s="2" t="str" cm="1">
        <f t="array" ref="G515">_xlfn.XLOOKUP(C515, customers!$A$1:A1514,customers!$B$1:B1514,,0)</f>
        <v>Nataniel Helkin</v>
      </c>
      <c r="H515" s="2" t="str" cm="1">
        <f t="array" ref="H515">IF(_xlfn.XLOOKUP(C515,customers!$A$1:A1514,customers!$C$1:C1514,,0) = 0,"", _xlfn.XLOOKUP(C515,customers!$A$1:A1514,customers!$C$1:C1514,,0))</f>
        <v>nhelkine9@example.com</v>
      </c>
      <c r="I515" s="2" t="str">
        <f>_xlfn.XLOOKUP(C515,customers!$A$1:$A$1001,customers!$G$1:$G$1001,,0)</f>
        <v>United States</v>
      </c>
      <c r="J515" s="2" t="str">
        <f>_xlfn.XLOOKUP(Orders[[#This Row],[Customer ID]],customers!$A$1:$A$1001,customers!$F$1:$F$1001,,0)</f>
        <v>Philadelphia</v>
      </c>
      <c r="K515" t="str">
        <f>INDEX(products!$A$1:$G$49,MATCH(orders!$D515,products!$A$1:$A$49,0),MATCH(orders!K$1,products!$A$1:$G$1,0))</f>
        <v>Lib</v>
      </c>
      <c r="L515" t="str">
        <f>INDEX(products!$A$1:$G$49,MATCH(orders!$D515,products!$A$1:$A$49,0),MATCH(orders!L$1,products!$A$1:$G$1,0))</f>
        <v>L</v>
      </c>
      <c r="M515" s="14">
        <f>INDEX(products!$A$1:$G$49,MATCH(orders!$D515,products!$A$1:$A$49,0),MATCH(orders!M$1,products!$A$1:$G$1,0))</f>
        <v>1</v>
      </c>
      <c r="N515" s="4">
        <f>INDEX(products!$A$1:$G$49,MATCH(orders!$D515,products!$A$1:$A$49,0),MATCH(orders!N$1,products!$A$1:$G$1,0))</f>
        <v>15.85</v>
      </c>
      <c r="O515" s="13">
        <f t="shared" si="40"/>
        <v>79.25</v>
      </c>
      <c r="P515" s="13">
        <f>_xlfn.XLOOKUP(Orders[[#This Row],[Product ID]],products!$A$1:$A$49,products!$G$1:$G$49,,0)</f>
        <v>2.0605000000000002</v>
      </c>
      <c r="Q515" s="13">
        <f t="shared" si="41"/>
        <v>10.302500000000002</v>
      </c>
      <c r="R515" t="str">
        <f t="shared" ref="R515:R578" si="43">IF(K515="Rob","Robusta",IF(K515="Exc","Execelsa",IF(K515="Ara","Arabica",IF(K515="Lib","Liberica",""))))</f>
        <v>Liberica</v>
      </c>
      <c r="S515" t="str">
        <f t="shared" ref="S515:S578" si="44" xml:space="preserve"> IF(L515="M", "Medium", IF(L515="L","Light",IF(L515="D","Dark","")))</f>
        <v>Light</v>
      </c>
      <c r="T515" t="str">
        <f>_xlfn.XLOOKUP(Orders[[#This Row],[Customer ID]],customers!$A$1:$A$1001,customers!$I$1:$I$1001,,0)</f>
        <v>No</v>
      </c>
    </row>
    <row r="516" spans="1:20" x14ac:dyDescent="0.35">
      <c r="A516" s="2" t="s">
        <v>3396</v>
      </c>
      <c r="B516" s="3">
        <v>44555</v>
      </c>
      <c r="C516" s="2" t="s">
        <v>3397</v>
      </c>
      <c r="D516" t="s">
        <v>6159</v>
      </c>
      <c r="E516" t="str">
        <f t="shared" si="42"/>
        <v>Liberica-Medium-0.2</v>
      </c>
      <c r="F516" s="2">
        <v>6</v>
      </c>
      <c r="G516" s="2" t="str" cm="1">
        <f t="array" ref="G516">_xlfn.XLOOKUP(C516, customers!$A$1:A1515,customers!$B$1:B1515,,0)</f>
        <v>Pippo Witherington</v>
      </c>
      <c r="H516" s="2" t="str" cm="1">
        <f t="array" ref="H516">IF(_xlfn.XLOOKUP(C516,customers!$A$1:A1515,customers!$C$1:C1515,,0) = 0,"", _xlfn.XLOOKUP(C516,customers!$A$1:A1515,customers!$C$1:C1515,,0))</f>
        <v>pwitheringtonea@networkadvertising.org</v>
      </c>
      <c r="I516" s="2" t="str">
        <f>_xlfn.XLOOKUP(C516,customers!$A$1:$A$1001,customers!$G$1:$G$1001,,0)</f>
        <v>United States</v>
      </c>
      <c r="J516" s="2" t="str">
        <f>_xlfn.XLOOKUP(Orders[[#This Row],[Customer ID]],customers!$A$1:$A$1001,customers!$F$1:$F$1001,,0)</f>
        <v>Detroit</v>
      </c>
      <c r="K516" t="str">
        <f>INDEX(products!$A$1:$G$49,MATCH(orders!$D516,products!$A$1:$A$49,0),MATCH(orders!K$1,products!$A$1:$G$1,0))</f>
        <v>Lib</v>
      </c>
      <c r="L516" t="str">
        <f>INDEX(products!$A$1:$G$49,MATCH(orders!$D516,products!$A$1:$A$49,0),MATCH(orders!L$1,products!$A$1:$G$1,0))</f>
        <v>M</v>
      </c>
      <c r="M516" s="14">
        <f>INDEX(products!$A$1:$G$49,MATCH(orders!$D516,products!$A$1:$A$49,0),MATCH(orders!M$1,products!$A$1:$G$1,0))</f>
        <v>0.2</v>
      </c>
      <c r="N516" s="4">
        <f>INDEX(products!$A$1:$G$49,MATCH(orders!$D516,products!$A$1:$A$49,0),MATCH(orders!N$1,products!$A$1:$G$1,0))</f>
        <v>4.3650000000000002</v>
      </c>
      <c r="O516" s="13">
        <f t="shared" si="40"/>
        <v>26.19</v>
      </c>
      <c r="P516" s="13">
        <f>_xlfn.XLOOKUP(Orders[[#This Row],[Product ID]],products!$A$1:$A$49,products!$G$1:$G$49,,0)</f>
        <v>0.56745000000000001</v>
      </c>
      <c r="Q516" s="13">
        <f t="shared" si="41"/>
        <v>3.4047000000000001</v>
      </c>
      <c r="R516" t="str">
        <f t="shared" si="43"/>
        <v>Liberica</v>
      </c>
      <c r="S516" t="str">
        <f t="shared" si="44"/>
        <v>Medium</v>
      </c>
      <c r="T516" t="str">
        <f>_xlfn.XLOOKUP(Orders[[#This Row],[Customer ID]],customers!$A$1:$A$1001,customers!$I$1:$I$1001,,0)</f>
        <v>Yes</v>
      </c>
    </row>
    <row r="517" spans="1:20" x14ac:dyDescent="0.35">
      <c r="A517" s="2" t="s">
        <v>3402</v>
      </c>
      <c r="B517" s="3">
        <v>44673</v>
      </c>
      <c r="C517" s="2" t="s">
        <v>3403</v>
      </c>
      <c r="D517" t="s">
        <v>6173</v>
      </c>
      <c r="E517" t="str">
        <f t="shared" si="42"/>
        <v>Robusta-Light-0.5</v>
      </c>
      <c r="F517" s="2">
        <v>3</v>
      </c>
      <c r="G517" s="2" t="str" cm="1">
        <f t="array" ref="G517">_xlfn.XLOOKUP(C517, customers!$A$1:A1516,customers!$B$1:B1516,,0)</f>
        <v>Tildie Tilzey</v>
      </c>
      <c r="H517" s="2" t="str" cm="1">
        <f t="array" ref="H517">IF(_xlfn.XLOOKUP(C517,customers!$A$1:A1516,customers!$C$1:C1516,,0) = 0,"", _xlfn.XLOOKUP(C517,customers!$A$1:A1516,customers!$C$1:C1516,,0))</f>
        <v>ttilzeyeb@hostgator.com</v>
      </c>
      <c r="I517" s="2" t="str">
        <f>_xlfn.XLOOKUP(C517,customers!$A$1:$A$1001,customers!$G$1:$G$1001,,0)</f>
        <v>United States</v>
      </c>
      <c r="J517" s="2" t="str">
        <f>_xlfn.XLOOKUP(Orders[[#This Row],[Customer ID]],customers!$A$1:$A$1001,customers!$F$1:$F$1001,,0)</f>
        <v>Saint Louis</v>
      </c>
      <c r="K517" t="str">
        <f>INDEX(products!$A$1:$G$49,MATCH(orders!$D517,products!$A$1:$A$49,0),MATCH(orders!K$1,products!$A$1:$G$1,0))</f>
        <v>Rob</v>
      </c>
      <c r="L517" t="str">
        <f>INDEX(products!$A$1:$G$49,MATCH(orders!$D517,products!$A$1:$A$49,0),MATCH(orders!L$1,products!$A$1:$G$1,0))</f>
        <v>L</v>
      </c>
      <c r="M517" s="14">
        <f>INDEX(products!$A$1:$G$49,MATCH(orders!$D517,products!$A$1:$A$49,0),MATCH(orders!M$1,products!$A$1:$G$1,0))</f>
        <v>0.5</v>
      </c>
      <c r="N517" s="4">
        <f>INDEX(products!$A$1:$G$49,MATCH(orders!$D517,products!$A$1:$A$49,0),MATCH(orders!N$1,products!$A$1:$G$1,0))</f>
        <v>7.169999999999999</v>
      </c>
      <c r="O517" s="13">
        <f t="shared" si="40"/>
        <v>21.509999999999998</v>
      </c>
      <c r="P517" s="13">
        <f>_xlfn.XLOOKUP(Orders[[#This Row],[Product ID]],products!$A$1:$A$49,products!$G$1:$G$49,,0)</f>
        <v>0.43019999999999992</v>
      </c>
      <c r="Q517" s="13">
        <f t="shared" si="41"/>
        <v>1.2905999999999997</v>
      </c>
      <c r="R517" t="str">
        <f t="shared" si="43"/>
        <v>Robusta</v>
      </c>
      <c r="S517" t="str">
        <f t="shared" si="44"/>
        <v>Light</v>
      </c>
      <c r="T517" t="str">
        <f>_xlfn.XLOOKUP(Orders[[#This Row],[Customer ID]],customers!$A$1:$A$1001,customers!$I$1:$I$1001,,0)</f>
        <v>No</v>
      </c>
    </row>
    <row r="518" spans="1:20" x14ac:dyDescent="0.35">
      <c r="A518" s="2" t="s">
        <v>3408</v>
      </c>
      <c r="B518" s="3">
        <v>44723</v>
      </c>
      <c r="C518" s="2" t="s">
        <v>3409</v>
      </c>
      <c r="D518" t="s">
        <v>6149</v>
      </c>
      <c r="E518" t="str">
        <f t="shared" si="42"/>
        <v>Robusta-Dark-2.5</v>
      </c>
      <c r="F518" s="2">
        <v>5</v>
      </c>
      <c r="G518" s="2" t="str" cm="1">
        <f t="array" ref="G518">_xlfn.XLOOKUP(C518, customers!$A$1:A1517,customers!$B$1:B1517,,0)</f>
        <v>Cindra Burling</v>
      </c>
      <c r="H518" s="2" t="str" cm="1">
        <f t="array" ref="H518">IF(_xlfn.XLOOKUP(C518,customers!$A$1:A1517,customers!$C$1:C1517,,0) = 0,"", _xlfn.XLOOKUP(C518,customers!$A$1:A1517,customers!$C$1:C1517,,0))</f>
        <v/>
      </c>
      <c r="I518" s="2" t="str">
        <f>_xlfn.XLOOKUP(C518,customers!$A$1:$A$1001,customers!$G$1:$G$1001,,0)</f>
        <v>United States</v>
      </c>
      <c r="J518" s="2" t="str">
        <f>_xlfn.XLOOKUP(Orders[[#This Row],[Customer ID]],customers!$A$1:$A$1001,customers!$F$1:$F$1001,,0)</f>
        <v>Schenectady</v>
      </c>
      <c r="K518" t="str">
        <f>INDEX(products!$A$1:$G$49,MATCH(orders!$D518,products!$A$1:$A$49,0),MATCH(orders!K$1,products!$A$1:$G$1,0))</f>
        <v>Rob</v>
      </c>
      <c r="L518" t="str">
        <f>INDEX(products!$A$1:$G$49,MATCH(orders!$D518,products!$A$1:$A$49,0),MATCH(orders!L$1,products!$A$1:$G$1,0))</f>
        <v>D</v>
      </c>
      <c r="M518" s="14">
        <f>INDEX(products!$A$1:$G$49,MATCH(orders!$D518,products!$A$1:$A$49,0),MATCH(orders!M$1,products!$A$1:$G$1,0))</f>
        <v>2.5</v>
      </c>
      <c r="N518" s="4">
        <f>INDEX(products!$A$1:$G$49,MATCH(orders!$D518,products!$A$1:$A$49,0),MATCH(orders!N$1,products!$A$1:$G$1,0))</f>
        <v>20.584999999999997</v>
      </c>
      <c r="O518" s="13">
        <f t="shared" si="40"/>
        <v>102.92499999999998</v>
      </c>
      <c r="P518" s="13">
        <f>_xlfn.XLOOKUP(Orders[[#This Row],[Product ID]],products!$A$1:$A$49,products!$G$1:$G$49,,0)</f>
        <v>1.2350999999999999</v>
      </c>
      <c r="Q518" s="13">
        <f t="shared" si="41"/>
        <v>6.1754999999999995</v>
      </c>
      <c r="R518" t="str">
        <f t="shared" si="43"/>
        <v>Robusta</v>
      </c>
      <c r="S518" t="str">
        <f t="shared" si="44"/>
        <v>Dark</v>
      </c>
      <c r="T518" t="str">
        <f>_xlfn.XLOOKUP(Orders[[#This Row],[Customer ID]],customers!$A$1:$A$1001,customers!$I$1:$I$1001,,0)</f>
        <v>Yes</v>
      </c>
    </row>
    <row r="519" spans="1:20" x14ac:dyDescent="0.35">
      <c r="A519" s="2" t="s">
        <v>3413</v>
      </c>
      <c r="B519" s="3">
        <v>44678</v>
      </c>
      <c r="C519" s="2" t="s">
        <v>3414</v>
      </c>
      <c r="D519" t="s">
        <v>6150</v>
      </c>
      <c r="E519" t="str">
        <f t="shared" si="42"/>
        <v>Liberica-Dark-0.2</v>
      </c>
      <c r="F519" s="2">
        <v>2</v>
      </c>
      <c r="G519" s="2" t="str" cm="1">
        <f t="array" ref="G519">_xlfn.XLOOKUP(C519, customers!$A$1:A1518,customers!$B$1:B1518,,0)</f>
        <v>Channa Belamy</v>
      </c>
      <c r="H519" s="2" t="str" cm="1">
        <f t="array" ref="H519">IF(_xlfn.XLOOKUP(C519,customers!$A$1:A1518,customers!$C$1:C1518,,0) = 0,"", _xlfn.XLOOKUP(C519,customers!$A$1:A1518,customers!$C$1:C1518,,0))</f>
        <v/>
      </c>
      <c r="I519" s="2" t="str">
        <f>_xlfn.XLOOKUP(C519,customers!$A$1:$A$1001,customers!$G$1:$G$1001,,0)</f>
        <v>United States</v>
      </c>
      <c r="J519" s="2" t="str">
        <f>_xlfn.XLOOKUP(Orders[[#This Row],[Customer ID]],customers!$A$1:$A$1001,customers!$F$1:$F$1001,,0)</f>
        <v>Lakeland</v>
      </c>
      <c r="K519" t="str">
        <f>INDEX(products!$A$1:$G$49,MATCH(orders!$D519,products!$A$1:$A$49,0),MATCH(orders!K$1,products!$A$1:$G$1,0))</f>
        <v>Lib</v>
      </c>
      <c r="L519" t="str">
        <f>INDEX(products!$A$1:$G$49,MATCH(orders!$D519,products!$A$1:$A$49,0),MATCH(orders!L$1,products!$A$1:$G$1,0))</f>
        <v>D</v>
      </c>
      <c r="M519" s="14">
        <f>INDEX(products!$A$1:$G$49,MATCH(orders!$D519,products!$A$1:$A$49,0),MATCH(orders!M$1,products!$A$1:$G$1,0))</f>
        <v>0.2</v>
      </c>
      <c r="N519" s="4">
        <f>INDEX(products!$A$1:$G$49,MATCH(orders!$D519,products!$A$1:$A$49,0),MATCH(orders!N$1,products!$A$1:$G$1,0))</f>
        <v>3.8849999999999998</v>
      </c>
      <c r="O519" s="13">
        <f t="shared" si="40"/>
        <v>7.77</v>
      </c>
      <c r="P519" s="13">
        <f>_xlfn.XLOOKUP(Orders[[#This Row],[Product ID]],products!$A$1:$A$49,products!$G$1:$G$49,,0)</f>
        <v>0.50505</v>
      </c>
      <c r="Q519" s="13">
        <f t="shared" si="41"/>
        <v>1.0101</v>
      </c>
      <c r="R519" t="str">
        <f t="shared" si="43"/>
        <v>Liberica</v>
      </c>
      <c r="S519" t="str">
        <f t="shared" si="44"/>
        <v>Dark</v>
      </c>
      <c r="T519" t="str">
        <f>_xlfn.XLOOKUP(Orders[[#This Row],[Customer ID]],customers!$A$1:$A$1001,customers!$I$1:$I$1001,,0)</f>
        <v>No</v>
      </c>
    </row>
    <row r="520" spans="1:20" x14ac:dyDescent="0.35">
      <c r="A520" s="2" t="s">
        <v>3418</v>
      </c>
      <c r="B520" s="3">
        <v>44194</v>
      </c>
      <c r="C520" s="2" t="s">
        <v>3419</v>
      </c>
      <c r="D520" t="s">
        <v>6185</v>
      </c>
      <c r="E520" t="str">
        <f t="shared" si="42"/>
        <v>Excelsa-Dark-2.5</v>
      </c>
      <c r="F520" s="2">
        <v>5</v>
      </c>
      <c r="G520" s="2" t="str" cm="1">
        <f t="array" ref="G520">_xlfn.XLOOKUP(C520, customers!$A$1:A1519,customers!$B$1:B1519,,0)</f>
        <v>Karl Imorts</v>
      </c>
      <c r="H520" s="2" t="str" cm="1">
        <f t="array" ref="H520">IF(_xlfn.XLOOKUP(C520,customers!$A$1:A1519,customers!$C$1:C1519,,0) = 0,"", _xlfn.XLOOKUP(C520,customers!$A$1:A1519,customers!$C$1:C1519,,0))</f>
        <v>kimortsee@alexa.com</v>
      </c>
      <c r="I520" s="2" t="str">
        <f>_xlfn.XLOOKUP(C520,customers!$A$1:$A$1001,customers!$G$1:$G$1001,,0)</f>
        <v>United States</v>
      </c>
      <c r="J520" s="2" t="str">
        <f>_xlfn.XLOOKUP(Orders[[#This Row],[Customer ID]],customers!$A$1:$A$1001,customers!$F$1:$F$1001,,0)</f>
        <v>Melbourne</v>
      </c>
      <c r="K520" t="str">
        <f>INDEX(products!$A$1:$G$49,MATCH(orders!$D520,products!$A$1:$A$49,0),MATCH(orders!K$1,products!$A$1:$G$1,0))</f>
        <v>Exc</v>
      </c>
      <c r="L520" t="str">
        <f>INDEX(products!$A$1:$G$49,MATCH(orders!$D520,products!$A$1:$A$49,0),MATCH(orders!L$1,products!$A$1:$G$1,0))</f>
        <v>D</v>
      </c>
      <c r="M520" s="14">
        <f>INDEX(products!$A$1:$G$49,MATCH(orders!$D520,products!$A$1:$A$49,0),MATCH(orders!M$1,products!$A$1:$G$1,0))</f>
        <v>2.5</v>
      </c>
      <c r="N520" s="4">
        <f>INDEX(products!$A$1:$G$49,MATCH(orders!$D520,products!$A$1:$A$49,0),MATCH(orders!N$1,products!$A$1:$G$1,0))</f>
        <v>27.945</v>
      </c>
      <c r="O520" s="13">
        <f t="shared" si="40"/>
        <v>139.72499999999999</v>
      </c>
      <c r="P520" s="13">
        <f>_xlfn.XLOOKUP(Orders[[#This Row],[Product ID]],products!$A$1:$A$49,products!$G$1:$G$49,,0)</f>
        <v>3.07395</v>
      </c>
      <c r="Q520" s="13">
        <f t="shared" si="41"/>
        <v>15.36975</v>
      </c>
      <c r="R520" t="str">
        <f t="shared" si="43"/>
        <v>Execelsa</v>
      </c>
      <c r="S520" t="str">
        <f t="shared" si="44"/>
        <v>Dark</v>
      </c>
      <c r="T520" t="str">
        <f>_xlfn.XLOOKUP(Orders[[#This Row],[Customer ID]],customers!$A$1:$A$1001,customers!$I$1:$I$1001,,0)</f>
        <v>No</v>
      </c>
    </row>
    <row r="521" spans="1:20" x14ac:dyDescent="0.35">
      <c r="A521" s="2" t="s">
        <v>3424</v>
      </c>
      <c r="B521" s="3">
        <v>44026</v>
      </c>
      <c r="C521" s="2" t="s">
        <v>3368</v>
      </c>
      <c r="D521" t="s">
        <v>6158</v>
      </c>
      <c r="E521" t="str">
        <f t="shared" si="42"/>
        <v>Arabica-Dark-0.5</v>
      </c>
      <c r="F521" s="2">
        <v>2</v>
      </c>
      <c r="G521" s="2" t="str" cm="1">
        <f t="array" ref="G521">_xlfn.XLOOKUP(C521, customers!$A$1:A1520,customers!$B$1:B1520,,0)</f>
        <v>Marja Urion</v>
      </c>
      <c r="H521" s="2" t="str" cm="1">
        <f t="array" ref="H521">IF(_xlfn.XLOOKUP(C521,customers!$A$1:A1520,customers!$C$1:C1520,,0) = 0,"", _xlfn.XLOOKUP(C521,customers!$A$1:A1520,customers!$C$1:C1520,,0))</f>
        <v>murione5@alexa.com</v>
      </c>
      <c r="I521" s="2" t="str">
        <f>_xlfn.XLOOKUP(C521,customers!$A$1:$A$1001,customers!$G$1:$G$1001,,0)</f>
        <v>Ireland</v>
      </c>
      <c r="J521" s="2" t="str">
        <f>_xlfn.XLOOKUP(Orders[[#This Row],[Customer ID]],customers!$A$1:$A$1001,customers!$F$1:$F$1001,,0)</f>
        <v>Virginia</v>
      </c>
      <c r="K521" t="str">
        <f>INDEX(products!$A$1:$G$49,MATCH(orders!$D521,products!$A$1:$A$49,0),MATCH(orders!K$1,products!$A$1:$G$1,0))</f>
        <v>Ara</v>
      </c>
      <c r="L521" t="str">
        <f>INDEX(products!$A$1:$G$49,MATCH(orders!$D521,products!$A$1:$A$49,0),MATCH(orders!L$1,products!$A$1:$G$1,0))</f>
        <v>D</v>
      </c>
      <c r="M521" s="14">
        <f>INDEX(products!$A$1:$G$49,MATCH(orders!$D521,products!$A$1:$A$49,0),MATCH(orders!M$1,products!$A$1:$G$1,0))</f>
        <v>0.5</v>
      </c>
      <c r="N521" s="4">
        <f>INDEX(products!$A$1:$G$49,MATCH(orders!$D521,products!$A$1:$A$49,0),MATCH(orders!N$1,products!$A$1:$G$1,0))</f>
        <v>5.97</v>
      </c>
      <c r="O521" s="13">
        <f t="shared" si="40"/>
        <v>11.94</v>
      </c>
      <c r="P521" s="13">
        <f>_xlfn.XLOOKUP(Orders[[#This Row],[Product ID]],products!$A$1:$A$49,products!$G$1:$G$49,,0)</f>
        <v>0.5373</v>
      </c>
      <c r="Q521" s="13">
        <f t="shared" si="41"/>
        <v>1.0746</v>
      </c>
      <c r="R521" t="str">
        <f t="shared" si="43"/>
        <v>Arabica</v>
      </c>
      <c r="S521" t="str">
        <f t="shared" si="44"/>
        <v>Dark</v>
      </c>
      <c r="T521" t="str">
        <f>_xlfn.XLOOKUP(Orders[[#This Row],[Customer ID]],customers!$A$1:$A$1001,customers!$I$1:$I$1001,,0)</f>
        <v>Yes</v>
      </c>
    </row>
    <row r="522" spans="1:20" x14ac:dyDescent="0.35">
      <c r="A522" s="2" t="s">
        <v>3430</v>
      </c>
      <c r="B522" s="3">
        <v>44446</v>
      </c>
      <c r="C522" s="2" t="s">
        <v>3431</v>
      </c>
      <c r="D522" t="s">
        <v>6150</v>
      </c>
      <c r="E522" t="str">
        <f t="shared" si="42"/>
        <v>Liberica-Dark-0.2</v>
      </c>
      <c r="F522" s="2">
        <v>1</v>
      </c>
      <c r="G522" s="2" t="str" cm="1">
        <f t="array" ref="G522">_xlfn.XLOOKUP(C522, customers!$A$1:A1521,customers!$B$1:B1521,,0)</f>
        <v>Mag Armistead</v>
      </c>
      <c r="H522" s="2" t="str" cm="1">
        <f t="array" ref="H522">IF(_xlfn.XLOOKUP(C522,customers!$A$1:A1521,customers!$C$1:C1521,,0) = 0,"", _xlfn.XLOOKUP(C522,customers!$A$1:A1521,customers!$C$1:C1521,,0))</f>
        <v>marmisteadeg@blogtalkradio.com</v>
      </c>
      <c r="I522" s="2" t="str">
        <f>_xlfn.XLOOKUP(C522,customers!$A$1:$A$1001,customers!$G$1:$G$1001,,0)</f>
        <v>United States</v>
      </c>
      <c r="J522" s="2" t="str">
        <f>_xlfn.XLOOKUP(Orders[[#This Row],[Customer ID]],customers!$A$1:$A$1001,customers!$F$1:$F$1001,,0)</f>
        <v>New Orleans</v>
      </c>
      <c r="K522" t="str">
        <f>INDEX(products!$A$1:$G$49,MATCH(orders!$D522,products!$A$1:$A$49,0),MATCH(orders!K$1,products!$A$1:$G$1,0))</f>
        <v>Lib</v>
      </c>
      <c r="L522" t="str">
        <f>INDEX(products!$A$1:$G$49,MATCH(orders!$D522,products!$A$1:$A$49,0),MATCH(orders!L$1,products!$A$1:$G$1,0))</f>
        <v>D</v>
      </c>
      <c r="M522" s="14">
        <f>INDEX(products!$A$1:$G$49,MATCH(orders!$D522,products!$A$1:$A$49,0),MATCH(orders!M$1,products!$A$1:$G$1,0))</f>
        <v>0.2</v>
      </c>
      <c r="N522" s="4">
        <f>INDEX(products!$A$1:$G$49,MATCH(orders!$D522,products!$A$1:$A$49,0),MATCH(orders!N$1,products!$A$1:$G$1,0))</f>
        <v>3.8849999999999998</v>
      </c>
      <c r="O522" s="13">
        <f t="shared" si="40"/>
        <v>3.8849999999999998</v>
      </c>
      <c r="P522" s="13">
        <f>_xlfn.XLOOKUP(Orders[[#This Row],[Product ID]],products!$A$1:$A$49,products!$G$1:$G$49,,0)</f>
        <v>0.50505</v>
      </c>
      <c r="Q522" s="13">
        <f t="shared" si="41"/>
        <v>0.50505</v>
      </c>
      <c r="R522" t="str">
        <f t="shared" si="43"/>
        <v>Liberica</v>
      </c>
      <c r="S522" t="str">
        <f t="shared" si="44"/>
        <v>Dark</v>
      </c>
      <c r="T522" t="str">
        <f>_xlfn.XLOOKUP(Orders[[#This Row],[Customer ID]],customers!$A$1:$A$1001,customers!$I$1:$I$1001,,0)</f>
        <v>No</v>
      </c>
    </row>
    <row r="523" spans="1:20" x14ac:dyDescent="0.35">
      <c r="A523" s="2" t="s">
        <v>3430</v>
      </c>
      <c r="B523" s="3">
        <v>44446</v>
      </c>
      <c r="C523" s="2" t="s">
        <v>3431</v>
      </c>
      <c r="D523" t="s">
        <v>6138</v>
      </c>
      <c r="E523" t="str">
        <f t="shared" si="42"/>
        <v>Robusta-Medium-1</v>
      </c>
      <c r="F523" s="2">
        <v>4</v>
      </c>
      <c r="G523" s="2" t="str" cm="1">
        <f t="array" ref="G523">_xlfn.XLOOKUP(C523, customers!$A$1:A1522,customers!$B$1:B1522,,0)</f>
        <v>Mag Armistead</v>
      </c>
      <c r="H523" s="2" t="str" cm="1">
        <f t="array" ref="H523">IF(_xlfn.XLOOKUP(C523,customers!$A$1:A1522,customers!$C$1:C1522,,0) = 0,"", _xlfn.XLOOKUP(C523,customers!$A$1:A1522,customers!$C$1:C1522,,0))</f>
        <v>marmisteadeg@blogtalkradio.com</v>
      </c>
      <c r="I523" s="2" t="str">
        <f>_xlfn.XLOOKUP(C523,customers!$A$1:$A$1001,customers!$G$1:$G$1001,,0)</f>
        <v>United States</v>
      </c>
      <c r="J523" s="2" t="str">
        <f>_xlfn.XLOOKUP(Orders[[#This Row],[Customer ID]],customers!$A$1:$A$1001,customers!$F$1:$F$1001,,0)</f>
        <v>New Orleans</v>
      </c>
      <c r="K523" t="str">
        <f>INDEX(products!$A$1:$G$49,MATCH(orders!$D523,products!$A$1:$A$49,0),MATCH(orders!K$1,products!$A$1:$G$1,0))</f>
        <v>Rob</v>
      </c>
      <c r="L523" t="str">
        <f>INDEX(products!$A$1:$G$49,MATCH(orders!$D523,products!$A$1:$A$49,0),MATCH(orders!L$1,products!$A$1:$G$1,0))</f>
        <v>M</v>
      </c>
      <c r="M523" s="14">
        <f>INDEX(products!$A$1:$G$49,MATCH(orders!$D523,products!$A$1:$A$49,0),MATCH(orders!M$1,products!$A$1:$G$1,0))</f>
        <v>1</v>
      </c>
      <c r="N523" s="4">
        <f>INDEX(products!$A$1:$G$49,MATCH(orders!$D523,products!$A$1:$A$49,0),MATCH(orders!N$1,products!$A$1:$G$1,0))</f>
        <v>9.9499999999999993</v>
      </c>
      <c r="O523" s="13">
        <f t="shared" si="40"/>
        <v>39.799999999999997</v>
      </c>
      <c r="P523" s="13">
        <f>_xlfn.XLOOKUP(Orders[[#This Row],[Product ID]],products!$A$1:$A$49,products!$G$1:$G$49,,0)</f>
        <v>0.59699999999999998</v>
      </c>
      <c r="Q523" s="13">
        <f t="shared" si="41"/>
        <v>2.3879999999999999</v>
      </c>
      <c r="R523" t="str">
        <f t="shared" si="43"/>
        <v>Robusta</v>
      </c>
      <c r="S523" t="str">
        <f t="shared" si="44"/>
        <v>Medium</v>
      </c>
      <c r="T523" t="str">
        <f>_xlfn.XLOOKUP(Orders[[#This Row],[Customer ID]],customers!$A$1:$A$1001,customers!$I$1:$I$1001,,0)</f>
        <v>No</v>
      </c>
    </row>
    <row r="524" spans="1:20" x14ac:dyDescent="0.35">
      <c r="A524" s="2" t="s">
        <v>3441</v>
      </c>
      <c r="B524" s="3">
        <v>43625</v>
      </c>
      <c r="C524" s="2" t="s">
        <v>3442</v>
      </c>
      <c r="D524" t="s">
        <v>6146</v>
      </c>
      <c r="E524" t="str">
        <f t="shared" si="42"/>
        <v>Robusta-Medium-0.5</v>
      </c>
      <c r="F524" s="2">
        <v>5</v>
      </c>
      <c r="G524" s="2" t="str" cm="1">
        <f t="array" ref="G524">_xlfn.XLOOKUP(C524, customers!$A$1:A1523,customers!$B$1:B1523,,0)</f>
        <v>Vasili Upstone</v>
      </c>
      <c r="H524" s="2" t="str" cm="1">
        <f t="array" ref="H524">IF(_xlfn.XLOOKUP(C524,customers!$A$1:A1523,customers!$C$1:C1523,,0) = 0,"", _xlfn.XLOOKUP(C524,customers!$A$1:A1523,customers!$C$1:C1523,,0))</f>
        <v>vupstoneei@google.pl</v>
      </c>
      <c r="I524" s="2" t="str">
        <f>_xlfn.XLOOKUP(C524,customers!$A$1:$A$1001,customers!$G$1:$G$1001,,0)</f>
        <v>United States</v>
      </c>
      <c r="J524" s="2" t="str">
        <f>_xlfn.XLOOKUP(Orders[[#This Row],[Customer ID]],customers!$A$1:$A$1001,customers!$F$1:$F$1001,,0)</f>
        <v>Topeka</v>
      </c>
      <c r="K524" t="str">
        <f>INDEX(products!$A$1:$G$49,MATCH(orders!$D524,products!$A$1:$A$49,0),MATCH(orders!K$1,products!$A$1:$G$1,0))</f>
        <v>Rob</v>
      </c>
      <c r="L524" t="str">
        <f>INDEX(products!$A$1:$G$49,MATCH(orders!$D524,products!$A$1:$A$49,0),MATCH(orders!L$1,products!$A$1:$G$1,0))</f>
        <v>M</v>
      </c>
      <c r="M524" s="14">
        <f>INDEX(products!$A$1:$G$49,MATCH(orders!$D524,products!$A$1:$A$49,0),MATCH(orders!M$1,products!$A$1:$G$1,0))</f>
        <v>0.5</v>
      </c>
      <c r="N524" s="4">
        <f>INDEX(products!$A$1:$G$49,MATCH(orders!$D524,products!$A$1:$A$49,0),MATCH(orders!N$1,products!$A$1:$G$1,0))</f>
        <v>5.97</v>
      </c>
      <c r="O524" s="13">
        <f t="shared" si="40"/>
        <v>29.849999999999998</v>
      </c>
      <c r="P524" s="13">
        <f>_xlfn.XLOOKUP(Orders[[#This Row],[Product ID]],products!$A$1:$A$49,products!$G$1:$G$49,,0)</f>
        <v>0.35819999999999996</v>
      </c>
      <c r="Q524" s="13">
        <f t="shared" si="41"/>
        <v>1.7909999999999999</v>
      </c>
      <c r="R524" t="str">
        <f t="shared" si="43"/>
        <v>Robusta</v>
      </c>
      <c r="S524" t="str">
        <f t="shared" si="44"/>
        <v>Medium</v>
      </c>
      <c r="T524" t="str">
        <f>_xlfn.XLOOKUP(Orders[[#This Row],[Customer ID]],customers!$A$1:$A$1001,customers!$I$1:$I$1001,,0)</f>
        <v>No</v>
      </c>
    </row>
    <row r="525" spans="1:20" x14ac:dyDescent="0.35">
      <c r="A525" s="2" t="s">
        <v>3447</v>
      </c>
      <c r="B525" s="3">
        <v>44129</v>
      </c>
      <c r="C525" s="2" t="s">
        <v>3448</v>
      </c>
      <c r="D525" t="s">
        <v>6165</v>
      </c>
      <c r="E525" t="str">
        <f t="shared" si="42"/>
        <v>Liberica-Dark-2.5</v>
      </c>
      <c r="F525" s="2">
        <v>1</v>
      </c>
      <c r="G525" s="2" t="str" cm="1">
        <f t="array" ref="G525">_xlfn.XLOOKUP(C525, customers!$A$1:A1524,customers!$B$1:B1524,,0)</f>
        <v>Berty Beelby</v>
      </c>
      <c r="H525" s="2" t="str" cm="1">
        <f t="array" ref="H525">IF(_xlfn.XLOOKUP(C525,customers!$A$1:A1524,customers!$C$1:C1524,,0) = 0,"", _xlfn.XLOOKUP(C525,customers!$A$1:A1524,customers!$C$1:C1524,,0))</f>
        <v>bbeelbyej@rediff.com</v>
      </c>
      <c r="I525" s="2" t="str">
        <f>_xlfn.XLOOKUP(C525,customers!$A$1:$A$1001,customers!$G$1:$G$1001,,0)</f>
        <v>Ireland</v>
      </c>
      <c r="J525" s="2" t="str">
        <f>_xlfn.XLOOKUP(Orders[[#This Row],[Customer ID]],customers!$A$1:$A$1001,customers!$F$1:$F$1001,,0)</f>
        <v>Lucan</v>
      </c>
      <c r="K525" t="str">
        <f>INDEX(products!$A$1:$G$49,MATCH(orders!$D525,products!$A$1:$A$49,0),MATCH(orders!K$1,products!$A$1:$G$1,0))</f>
        <v>Lib</v>
      </c>
      <c r="L525" t="str">
        <f>INDEX(products!$A$1:$G$49,MATCH(orders!$D525,products!$A$1:$A$49,0),MATCH(orders!L$1,products!$A$1:$G$1,0))</f>
        <v>D</v>
      </c>
      <c r="M525" s="14">
        <f>INDEX(products!$A$1:$G$49,MATCH(orders!$D525,products!$A$1:$A$49,0),MATCH(orders!M$1,products!$A$1:$G$1,0))</f>
        <v>2.5</v>
      </c>
      <c r="N525" s="4">
        <f>INDEX(products!$A$1:$G$49,MATCH(orders!$D525,products!$A$1:$A$49,0),MATCH(orders!N$1,products!$A$1:$G$1,0))</f>
        <v>29.784999999999997</v>
      </c>
      <c r="O525" s="13">
        <f t="shared" si="40"/>
        <v>29.784999999999997</v>
      </c>
      <c r="P525" s="13">
        <f>_xlfn.XLOOKUP(Orders[[#This Row],[Product ID]],products!$A$1:$A$49,products!$G$1:$G$49,,0)</f>
        <v>3.8720499999999998</v>
      </c>
      <c r="Q525" s="13">
        <f t="shared" si="41"/>
        <v>3.8720499999999998</v>
      </c>
      <c r="R525" t="str">
        <f t="shared" si="43"/>
        <v>Liberica</v>
      </c>
      <c r="S525" t="str">
        <f t="shared" si="44"/>
        <v>Dark</v>
      </c>
      <c r="T525" t="str">
        <f>_xlfn.XLOOKUP(Orders[[#This Row],[Customer ID]],customers!$A$1:$A$1001,customers!$I$1:$I$1001,,0)</f>
        <v>No</v>
      </c>
    </row>
    <row r="526" spans="1:20" x14ac:dyDescent="0.35">
      <c r="A526" s="2" t="s">
        <v>3453</v>
      </c>
      <c r="B526" s="3">
        <v>44255</v>
      </c>
      <c r="C526" s="2" t="s">
        <v>3454</v>
      </c>
      <c r="D526" t="s">
        <v>6164</v>
      </c>
      <c r="E526" t="str">
        <f t="shared" si="42"/>
        <v>Liberica-Light-2.5</v>
      </c>
      <c r="F526" s="2">
        <v>2</v>
      </c>
      <c r="G526" s="2" t="str" cm="1">
        <f t="array" ref="G526">_xlfn.XLOOKUP(C526, customers!$A$1:A1525,customers!$B$1:B1525,,0)</f>
        <v>Erny Stenyng</v>
      </c>
      <c r="H526" s="2" t="str" cm="1">
        <f t="array" ref="H526">IF(_xlfn.XLOOKUP(C526,customers!$A$1:A1525,customers!$C$1:C1525,,0) = 0,"", _xlfn.XLOOKUP(C526,customers!$A$1:A1525,customers!$C$1:C1525,,0))</f>
        <v/>
      </c>
      <c r="I526" s="2" t="str">
        <f>_xlfn.XLOOKUP(C526,customers!$A$1:$A$1001,customers!$G$1:$G$1001,,0)</f>
        <v>United States</v>
      </c>
      <c r="J526" s="2" t="str">
        <f>_xlfn.XLOOKUP(Orders[[#This Row],[Customer ID]],customers!$A$1:$A$1001,customers!$F$1:$F$1001,,0)</f>
        <v>Springfield</v>
      </c>
      <c r="K526" t="str">
        <f>INDEX(products!$A$1:$G$49,MATCH(orders!$D526,products!$A$1:$A$49,0),MATCH(orders!K$1,products!$A$1:$G$1,0))</f>
        <v>Lib</v>
      </c>
      <c r="L526" t="str">
        <f>INDEX(products!$A$1:$G$49,MATCH(orders!$D526,products!$A$1:$A$49,0),MATCH(orders!L$1,products!$A$1:$G$1,0))</f>
        <v>L</v>
      </c>
      <c r="M526" s="14">
        <f>INDEX(products!$A$1:$G$49,MATCH(orders!$D526,products!$A$1:$A$49,0),MATCH(orders!M$1,products!$A$1:$G$1,0))</f>
        <v>2.5</v>
      </c>
      <c r="N526" s="4">
        <f>INDEX(products!$A$1:$G$49,MATCH(orders!$D526,products!$A$1:$A$49,0),MATCH(orders!N$1,products!$A$1:$G$1,0))</f>
        <v>36.454999999999998</v>
      </c>
      <c r="O526" s="13">
        <f t="shared" si="40"/>
        <v>72.91</v>
      </c>
      <c r="P526" s="13">
        <f>_xlfn.XLOOKUP(Orders[[#This Row],[Product ID]],products!$A$1:$A$49,products!$G$1:$G$49,,0)</f>
        <v>4.7391499999999995</v>
      </c>
      <c r="Q526" s="13">
        <f t="shared" si="41"/>
        <v>9.4782999999999991</v>
      </c>
      <c r="R526" t="str">
        <f t="shared" si="43"/>
        <v>Liberica</v>
      </c>
      <c r="S526" t="str">
        <f t="shared" si="44"/>
        <v>Light</v>
      </c>
      <c r="T526" t="str">
        <f>_xlfn.XLOOKUP(Orders[[#This Row],[Customer ID]],customers!$A$1:$A$1001,customers!$I$1:$I$1001,,0)</f>
        <v>No</v>
      </c>
    </row>
    <row r="527" spans="1:20" x14ac:dyDescent="0.35">
      <c r="A527" s="2" t="s">
        <v>3458</v>
      </c>
      <c r="B527" s="3">
        <v>44038</v>
      </c>
      <c r="C527" s="2" t="s">
        <v>3459</v>
      </c>
      <c r="D527" t="s">
        <v>6163</v>
      </c>
      <c r="E527" t="str">
        <f t="shared" si="42"/>
        <v>Robusta-Dark-0.2</v>
      </c>
      <c r="F527" s="2">
        <v>5</v>
      </c>
      <c r="G527" s="2" t="str" cm="1">
        <f t="array" ref="G527">_xlfn.XLOOKUP(C527, customers!$A$1:A1526,customers!$B$1:B1526,,0)</f>
        <v>Edin Yantsurev</v>
      </c>
      <c r="H527" s="2" t="str" cm="1">
        <f t="array" ref="H527">IF(_xlfn.XLOOKUP(C527,customers!$A$1:A1526,customers!$C$1:C1526,,0) = 0,"", _xlfn.XLOOKUP(C527,customers!$A$1:A1526,customers!$C$1:C1526,,0))</f>
        <v/>
      </c>
      <c r="I527" s="2" t="str">
        <f>_xlfn.XLOOKUP(C527,customers!$A$1:$A$1001,customers!$G$1:$G$1001,,0)</f>
        <v>United States</v>
      </c>
      <c r="J527" s="2" t="str">
        <f>_xlfn.XLOOKUP(Orders[[#This Row],[Customer ID]],customers!$A$1:$A$1001,customers!$F$1:$F$1001,,0)</f>
        <v>Camden</v>
      </c>
      <c r="K527" t="str">
        <f>INDEX(products!$A$1:$G$49,MATCH(orders!$D527,products!$A$1:$A$49,0),MATCH(orders!K$1,products!$A$1:$G$1,0))</f>
        <v>Rob</v>
      </c>
      <c r="L527" t="str">
        <f>INDEX(products!$A$1:$G$49,MATCH(orders!$D527,products!$A$1:$A$49,0),MATCH(orders!L$1,products!$A$1:$G$1,0))</f>
        <v>D</v>
      </c>
      <c r="M527" s="14">
        <f>INDEX(products!$A$1:$G$49,MATCH(orders!$D527,products!$A$1:$A$49,0),MATCH(orders!M$1,products!$A$1:$G$1,0))</f>
        <v>0.2</v>
      </c>
      <c r="N527" s="4">
        <f>INDEX(products!$A$1:$G$49,MATCH(orders!$D527,products!$A$1:$A$49,0),MATCH(orders!N$1,products!$A$1:$G$1,0))</f>
        <v>2.6849999999999996</v>
      </c>
      <c r="O527" s="13">
        <f t="shared" si="40"/>
        <v>13.424999999999997</v>
      </c>
      <c r="P527" s="13">
        <f>_xlfn.XLOOKUP(Orders[[#This Row],[Product ID]],products!$A$1:$A$49,products!$G$1:$G$49,,0)</f>
        <v>0.16109999999999997</v>
      </c>
      <c r="Q527" s="13">
        <f t="shared" si="41"/>
        <v>0.80549999999999988</v>
      </c>
      <c r="R527" t="str">
        <f t="shared" si="43"/>
        <v>Robusta</v>
      </c>
      <c r="S527" t="str">
        <f t="shared" si="44"/>
        <v>Dark</v>
      </c>
      <c r="T527" t="str">
        <f>_xlfn.XLOOKUP(Orders[[#This Row],[Customer ID]],customers!$A$1:$A$1001,customers!$I$1:$I$1001,,0)</f>
        <v>Yes</v>
      </c>
    </row>
    <row r="528" spans="1:20" x14ac:dyDescent="0.35">
      <c r="A528" s="2" t="s">
        <v>3463</v>
      </c>
      <c r="B528" s="3">
        <v>44717</v>
      </c>
      <c r="C528" s="2" t="s">
        <v>3464</v>
      </c>
      <c r="D528" t="s">
        <v>6166</v>
      </c>
      <c r="E528" t="str">
        <f t="shared" si="42"/>
        <v>Excelsa-Medium-2.5</v>
      </c>
      <c r="F528" s="2">
        <v>4</v>
      </c>
      <c r="G528" s="2" t="str" cm="1">
        <f t="array" ref="G528">_xlfn.XLOOKUP(C528, customers!$A$1:A1527,customers!$B$1:B1527,,0)</f>
        <v>Webb Speechly</v>
      </c>
      <c r="H528" s="2" t="str" cm="1">
        <f t="array" ref="H528">IF(_xlfn.XLOOKUP(C528,customers!$A$1:A1527,customers!$C$1:C1527,,0) = 0,"", _xlfn.XLOOKUP(C528,customers!$A$1:A1527,customers!$C$1:C1527,,0))</f>
        <v>wspeechlyem@amazon.com</v>
      </c>
      <c r="I528" s="2" t="str">
        <f>_xlfn.XLOOKUP(C528,customers!$A$1:$A$1001,customers!$G$1:$G$1001,,0)</f>
        <v>United States</v>
      </c>
      <c r="J528" s="2" t="str">
        <f>_xlfn.XLOOKUP(Orders[[#This Row],[Customer ID]],customers!$A$1:$A$1001,customers!$F$1:$F$1001,,0)</f>
        <v>Seattle</v>
      </c>
      <c r="K528" t="str">
        <f>INDEX(products!$A$1:$G$49,MATCH(orders!$D528,products!$A$1:$A$49,0),MATCH(orders!K$1,products!$A$1:$G$1,0))</f>
        <v>Exc</v>
      </c>
      <c r="L528" t="str">
        <f>INDEX(products!$A$1:$G$49,MATCH(orders!$D528,products!$A$1:$A$49,0),MATCH(orders!L$1,products!$A$1:$G$1,0))</f>
        <v>M</v>
      </c>
      <c r="M528" s="14">
        <f>INDEX(products!$A$1:$G$49,MATCH(orders!$D528,products!$A$1:$A$49,0),MATCH(orders!M$1,products!$A$1:$G$1,0))</f>
        <v>2.5</v>
      </c>
      <c r="N528" s="4">
        <f>INDEX(products!$A$1:$G$49,MATCH(orders!$D528,products!$A$1:$A$49,0),MATCH(orders!N$1,products!$A$1:$G$1,0))</f>
        <v>31.624999999999996</v>
      </c>
      <c r="O528" s="13">
        <f t="shared" si="40"/>
        <v>126.49999999999999</v>
      </c>
      <c r="P528" s="13">
        <f>_xlfn.XLOOKUP(Orders[[#This Row],[Product ID]],products!$A$1:$A$49,products!$G$1:$G$49,,0)</f>
        <v>3.4787499999999998</v>
      </c>
      <c r="Q528" s="13">
        <f t="shared" si="41"/>
        <v>13.914999999999999</v>
      </c>
      <c r="R528" t="str">
        <f t="shared" si="43"/>
        <v>Execelsa</v>
      </c>
      <c r="S528" t="str">
        <f t="shared" si="44"/>
        <v>Medium</v>
      </c>
      <c r="T528" t="str">
        <f>_xlfn.XLOOKUP(Orders[[#This Row],[Customer ID]],customers!$A$1:$A$1001,customers!$I$1:$I$1001,,0)</f>
        <v>Yes</v>
      </c>
    </row>
    <row r="529" spans="1:20" x14ac:dyDescent="0.35">
      <c r="A529" s="2" t="s">
        <v>3469</v>
      </c>
      <c r="B529" s="3">
        <v>43517</v>
      </c>
      <c r="C529" s="2" t="s">
        <v>3470</v>
      </c>
      <c r="D529" t="s">
        <v>6139</v>
      </c>
      <c r="E529" t="str">
        <f t="shared" si="42"/>
        <v>Excelsa-Medium-0.5</v>
      </c>
      <c r="F529" s="2">
        <v>5</v>
      </c>
      <c r="G529" s="2" t="str" cm="1">
        <f t="array" ref="G529">_xlfn.XLOOKUP(C529, customers!$A$1:A1528,customers!$B$1:B1528,,0)</f>
        <v>Irvine Phillpot</v>
      </c>
      <c r="H529" s="2" t="str" cm="1">
        <f t="array" ref="H529">IF(_xlfn.XLOOKUP(C529,customers!$A$1:A1528,customers!$C$1:C1528,,0) = 0,"", _xlfn.XLOOKUP(C529,customers!$A$1:A1528,customers!$C$1:C1528,,0))</f>
        <v>iphillpoten@buzzfeed.com</v>
      </c>
      <c r="I529" s="2" t="str">
        <f>_xlfn.XLOOKUP(C529,customers!$A$1:$A$1001,customers!$G$1:$G$1001,,0)</f>
        <v>United Kingdom</v>
      </c>
      <c r="J529" s="2" t="str">
        <f>_xlfn.XLOOKUP(Orders[[#This Row],[Customer ID]],customers!$A$1:$A$1001,customers!$F$1:$F$1001,,0)</f>
        <v>Wootton</v>
      </c>
      <c r="K529" t="str">
        <f>INDEX(products!$A$1:$G$49,MATCH(orders!$D529,products!$A$1:$A$49,0),MATCH(orders!K$1,products!$A$1:$G$1,0))</f>
        <v>Exc</v>
      </c>
      <c r="L529" t="str">
        <f>INDEX(products!$A$1:$G$49,MATCH(orders!$D529,products!$A$1:$A$49,0),MATCH(orders!L$1,products!$A$1:$G$1,0))</f>
        <v>M</v>
      </c>
      <c r="M529" s="14">
        <f>INDEX(products!$A$1:$G$49,MATCH(orders!$D529,products!$A$1:$A$49,0),MATCH(orders!M$1,products!$A$1:$G$1,0))</f>
        <v>0.5</v>
      </c>
      <c r="N529" s="4">
        <f>INDEX(products!$A$1:$G$49,MATCH(orders!$D529,products!$A$1:$A$49,0),MATCH(orders!N$1,products!$A$1:$G$1,0))</f>
        <v>8.25</v>
      </c>
      <c r="O529" s="13">
        <f t="shared" si="40"/>
        <v>41.25</v>
      </c>
      <c r="P529" s="13">
        <f>_xlfn.XLOOKUP(Orders[[#This Row],[Product ID]],products!$A$1:$A$49,products!$G$1:$G$49,,0)</f>
        <v>0.90749999999999997</v>
      </c>
      <c r="Q529" s="13">
        <f t="shared" si="41"/>
        <v>4.5374999999999996</v>
      </c>
      <c r="R529" t="str">
        <f t="shared" si="43"/>
        <v>Execelsa</v>
      </c>
      <c r="S529" t="str">
        <f t="shared" si="44"/>
        <v>Medium</v>
      </c>
      <c r="T529" t="str">
        <f>_xlfn.XLOOKUP(Orders[[#This Row],[Customer ID]],customers!$A$1:$A$1001,customers!$I$1:$I$1001,,0)</f>
        <v>No</v>
      </c>
    </row>
    <row r="530" spans="1:20" x14ac:dyDescent="0.35">
      <c r="A530" s="2" t="s">
        <v>3475</v>
      </c>
      <c r="B530" s="3">
        <v>43926</v>
      </c>
      <c r="C530" s="2" t="s">
        <v>3476</v>
      </c>
      <c r="D530" t="s">
        <v>6176</v>
      </c>
      <c r="E530" t="str">
        <f t="shared" si="42"/>
        <v>Excelsa-Light-0.5</v>
      </c>
      <c r="F530" s="2">
        <v>6</v>
      </c>
      <c r="G530" s="2" t="str" cm="1">
        <f t="array" ref="G530">_xlfn.XLOOKUP(C530, customers!$A$1:A1529,customers!$B$1:B1529,,0)</f>
        <v>Lem Pennacci</v>
      </c>
      <c r="H530" s="2" t="str" cm="1">
        <f t="array" ref="H530">IF(_xlfn.XLOOKUP(C530,customers!$A$1:A1529,customers!$C$1:C1529,,0) = 0,"", _xlfn.XLOOKUP(C530,customers!$A$1:A1529,customers!$C$1:C1529,,0))</f>
        <v>lpennaccieo@statcounter.com</v>
      </c>
      <c r="I530" s="2" t="str">
        <f>_xlfn.XLOOKUP(C530,customers!$A$1:$A$1001,customers!$G$1:$G$1001,,0)</f>
        <v>United States</v>
      </c>
      <c r="J530" s="2" t="str">
        <f>_xlfn.XLOOKUP(Orders[[#This Row],[Customer ID]],customers!$A$1:$A$1001,customers!$F$1:$F$1001,,0)</f>
        <v>Waco</v>
      </c>
      <c r="K530" t="str">
        <f>INDEX(products!$A$1:$G$49,MATCH(orders!$D530,products!$A$1:$A$49,0),MATCH(orders!K$1,products!$A$1:$G$1,0))</f>
        <v>Exc</v>
      </c>
      <c r="L530" t="str">
        <f>INDEX(products!$A$1:$G$49,MATCH(orders!$D530,products!$A$1:$A$49,0),MATCH(orders!L$1,products!$A$1:$G$1,0))</f>
        <v>L</v>
      </c>
      <c r="M530" s="14">
        <f>INDEX(products!$A$1:$G$49,MATCH(orders!$D530,products!$A$1:$A$49,0),MATCH(orders!M$1,products!$A$1:$G$1,0))</f>
        <v>0.5</v>
      </c>
      <c r="N530" s="4">
        <f>INDEX(products!$A$1:$G$49,MATCH(orders!$D530,products!$A$1:$A$49,0),MATCH(orders!N$1,products!$A$1:$G$1,0))</f>
        <v>8.91</v>
      </c>
      <c r="O530" s="13">
        <f t="shared" si="40"/>
        <v>53.46</v>
      </c>
      <c r="P530" s="13">
        <f>_xlfn.XLOOKUP(Orders[[#This Row],[Product ID]],products!$A$1:$A$49,products!$G$1:$G$49,,0)</f>
        <v>0.98009999999999997</v>
      </c>
      <c r="Q530" s="13">
        <f t="shared" si="41"/>
        <v>5.8805999999999994</v>
      </c>
      <c r="R530" t="str">
        <f t="shared" si="43"/>
        <v>Execelsa</v>
      </c>
      <c r="S530" t="str">
        <f t="shared" si="44"/>
        <v>Light</v>
      </c>
      <c r="T530" t="str">
        <f>_xlfn.XLOOKUP(Orders[[#This Row],[Customer ID]],customers!$A$1:$A$1001,customers!$I$1:$I$1001,,0)</f>
        <v>No</v>
      </c>
    </row>
    <row r="531" spans="1:20" x14ac:dyDescent="0.35">
      <c r="A531" s="2" t="s">
        <v>3481</v>
      </c>
      <c r="B531" s="3">
        <v>43475</v>
      </c>
      <c r="C531" s="2" t="s">
        <v>3482</v>
      </c>
      <c r="D531" t="s">
        <v>6138</v>
      </c>
      <c r="E531" t="str">
        <f t="shared" si="42"/>
        <v>Robusta-Medium-1</v>
      </c>
      <c r="F531" s="2">
        <v>6</v>
      </c>
      <c r="G531" s="2" t="str" cm="1">
        <f t="array" ref="G531">_xlfn.XLOOKUP(C531, customers!$A$1:A1530,customers!$B$1:B1530,,0)</f>
        <v>Starr Arpin</v>
      </c>
      <c r="H531" s="2" t="str" cm="1">
        <f t="array" ref="H531">IF(_xlfn.XLOOKUP(C531,customers!$A$1:A1530,customers!$C$1:C1530,,0) = 0,"", _xlfn.XLOOKUP(C531,customers!$A$1:A1530,customers!$C$1:C1530,,0))</f>
        <v>sarpinep@moonfruit.com</v>
      </c>
      <c r="I531" s="2" t="str">
        <f>_xlfn.XLOOKUP(C531,customers!$A$1:$A$1001,customers!$G$1:$G$1001,,0)</f>
        <v>United States</v>
      </c>
      <c r="J531" s="2" t="str">
        <f>_xlfn.XLOOKUP(Orders[[#This Row],[Customer ID]],customers!$A$1:$A$1001,customers!$F$1:$F$1001,,0)</f>
        <v>Richmond</v>
      </c>
      <c r="K531" t="str">
        <f>INDEX(products!$A$1:$G$49,MATCH(orders!$D531,products!$A$1:$A$49,0),MATCH(orders!K$1,products!$A$1:$G$1,0))</f>
        <v>Rob</v>
      </c>
      <c r="L531" t="str">
        <f>INDEX(products!$A$1:$G$49,MATCH(orders!$D531,products!$A$1:$A$49,0),MATCH(orders!L$1,products!$A$1:$G$1,0))</f>
        <v>M</v>
      </c>
      <c r="M531" s="14">
        <f>INDEX(products!$A$1:$G$49,MATCH(orders!$D531,products!$A$1:$A$49,0),MATCH(orders!M$1,products!$A$1:$G$1,0))</f>
        <v>1</v>
      </c>
      <c r="N531" s="4">
        <f>INDEX(products!$A$1:$G$49,MATCH(orders!$D531,products!$A$1:$A$49,0),MATCH(orders!N$1,products!$A$1:$G$1,0))</f>
        <v>9.9499999999999993</v>
      </c>
      <c r="O531" s="13">
        <f t="shared" si="40"/>
        <v>59.699999999999996</v>
      </c>
      <c r="P531" s="13">
        <f>_xlfn.XLOOKUP(Orders[[#This Row],[Product ID]],products!$A$1:$A$49,products!$G$1:$G$49,,0)</f>
        <v>0.59699999999999998</v>
      </c>
      <c r="Q531" s="13">
        <f t="shared" si="41"/>
        <v>3.5819999999999999</v>
      </c>
      <c r="R531" t="str">
        <f t="shared" si="43"/>
        <v>Robusta</v>
      </c>
      <c r="S531" t="str">
        <f t="shared" si="44"/>
        <v>Medium</v>
      </c>
      <c r="T531" t="str">
        <f>_xlfn.XLOOKUP(Orders[[#This Row],[Customer ID]],customers!$A$1:$A$1001,customers!$I$1:$I$1001,,0)</f>
        <v>No</v>
      </c>
    </row>
    <row r="532" spans="1:20" x14ac:dyDescent="0.35">
      <c r="A532" s="2" t="s">
        <v>3487</v>
      </c>
      <c r="B532" s="3">
        <v>44663</v>
      </c>
      <c r="C532" s="2" t="s">
        <v>3488</v>
      </c>
      <c r="D532" t="s">
        <v>6138</v>
      </c>
      <c r="E532" t="str">
        <f t="shared" si="42"/>
        <v>Robusta-Medium-1</v>
      </c>
      <c r="F532" s="2">
        <v>6</v>
      </c>
      <c r="G532" s="2" t="str" cm="1">
        <f t="array" ref="G532">_xlfn.XLOOKUP(C532, customers!$A$1:A1531,customers!$B$1:B1531,,0)</f>
        <v>Donny Fries</v>
      </c>
      <c r="H532" s="2" t="str" cm="1">
        <f t="array" ref="H532">IF(_xlfn.XLOOKUP(C532,customers!$A$1:A1531,customers!$C$1:C1531,,0) = 0,"", _xlfn.XLOOKUP(C532,customers!$A$1:A1531,customers!$C$1:C1531,,0))</f>
        <v>dfrieseq@cargocollective.com</v>
      </c>
      <c r="I532" s="2" t="str">
        <f>_xlfn.XLOOKUP(C532,customers!$A$1:$A$1001,customers!$G$1:$G$1001,,0)</f>
        <v>United States</v>
      </c>
      <c r="J532" s="2" t="str">
        <f>_xlfn.XLOOKUP(Orders[[#This Row],[Customer ID]],customers!$A$1:$A$1001,customers!$F$1:$F$1001,,0)</f>
        <v>Toledo</v>
      </c>
      <c r="K532" t="str">
        <f>INDEX(products!$A$1:$G$49,MATCH(orders!$D532,products!$A$1:$A$49,0),MATCH(orders!K$1,products!$A$1:$G$1,0))</f>
        <v>Rob</v>
      </c>
      <c r="L532" t="str">
        <f>INDEX(products!$A$1:$G$49,MATCH(orders!$D532,products!$A$1:$A$49,0),MATCH(orders!L$1,products!$A$1:$G$1,0))</f>
        <v>M</v>
      </c>
      <c r="M532" s="14">
        <f>INDEX(products!$A$1:$G$49,MATCH(orders!$D532,products!$A$1:$A$49,0),MATCH(orders!M$1,products!$A$1:$G$1,0))</f>
        <v>1</v>
      </c>
      <c r="N532" s="4">
        <f>INDEX(products!$A$1:$G$49,MATCH(orders!$D532,products!$A$1:$A$49,0),MATCH(orders!N$1,products!$A$1:$G$1,0))</f>
        <v>9.9499999999999993</v>
      </c>
      <c r="O532" s="13">
        <f t="shared" si="40"/>
        <v>59.699999999999996</v>
      </c>
      <c r="P532" s="13">
        <f>_xlfn.XLOOKUP(Orders[[#This Row],[Product ID]],products!$A$1:$A$49,products!$G$1:$G$49,,0)</f>
        <v>0.59699999999999998</v>
      </c>
      <c r="Q532" s="13">
        <f t="shared" si="41"/>
        <v>3.5819999999999999</v>
      </c>
      <c r="R532" t="str">
        <f t="shared" si="43"/>
        <v>Robusta</v>
      </c>
      <c r="S532" t="str">
        <f t="shared" si="44"/>
        <v>Medium</v>
      </c>
      <c r="T532" t="str">
        <f>_xlfn.XLOOKUP(Orders[[#This Row],[Customer ID]],customers!$A$1:$A$1001,customers!$I$1:$I$1001,,0)</f>
        <v>No</v>
      </c>
    </row>
    <row r="533" spans="1:20" x14ac:dyDescent="0.35">
      <c r="A533" s="2" t="s">
        <v>3493</v>
      </c>
      <c r="B533" s="3">
        <v>44591</v>
      </c>
      <c r="C533" s="2" t="s">
        <v>3494</v>
      </c>
      <c r="D533" t="s">
        <v>6177</v>
      </c>
      <c r="E533" t="str">
        <f t="shared" si="42"/>
        <v>Robusta-Dark-1</v>
      </c>
      <c r="F533" s="2">
        <v>5</v>
      </c>
      <c r="G533" s="2" t="str" cm="1">
        <f t="array" ref="G533">_xlfn.XLOOKUP(C533, customers!$A$1:A1532,customers!$B$1:B1532,,0)</f>
        <v>Rana Sharer</v>
      </c>
      <c r="H533" s="2" t="str" cm="1">
        <f t="array" ref="H533">IF(_xlfn.XLOOKUP(C533,customers!$A$1:A1532,customers!$C$1:C1532,,0) = 0,"", _xlfn.XLOOKUP(C533,customers!$A$1:A1532,customers!$C$1:C1532,,0))</f>
        <v>rsharerer@flavors.me</v>
      </c>
      <c r="I533" s="2" t="str">
        <f>_xlfn.XLOOKUP(C533,customers!$A$1:$A$1001,customers!$G$1:$G$1001,,0)</f>
        <v>United States</v>
      </c>
      <c r="J533" s="2" t="str">
        <f>_xlfn.XLOOKUP(Orders[[#This Row],[Customer ID]],customers!$A$1:$A$1001,customers!$F$1:$F$1001,,0)</f>
        <v>Huntington</v>
      </c>
      <c r="K533" t="str">
        <f>INDEX(products!$A$1:$G$49,MATCH(orders!$D533,products!$A$1:$A$49,0),MATCH(orders!K$1,products!$A$1:$G$1,0))</f>
        <v>Rob</v>
      </c>
      <c r="L533" t="str">
        <f>INDEX(products!$A$1:$G$49,MATCH(orders!$D533,products!$A$1:$A$49,0),MATCH(orders!L$1,products!$A$1:$G$1,0))</f>
        <v>D</v>
      </c>
      <c r="M533" s="14">
        <f>INDEX(products!$A$1:$G$49,MATCH(orders!$D533,products!$A$1:$A$49,0),MATCH(orders!M$1,products!$A$1:$G$1,0))</f>
        <v>1</v>
      </c>
      <c r="N533" s="4">
        <f>INDEX(products!$A$1:$G$49,MATCH(orders!$D533,products!$A$1:$A$49,0),MATCH(orders!N$1,products!$A$1:$G$1,0))</f>
        <v>8.9499999999999993</v>
      </c>
      <c r="O533" s="13">
        <f t="shared" si="40"/>
        <v>44.75</v>
      </c>
      <c r="P533" s="13">
        <f>_xlfn.XLOOKUP(Orders[[#This Row],[Product ID]],products!$A$1:$A$49,products!$G$1:$G$49,,0)</f>
        <v>0.53699999999999992</v>
      </c>
      <c r="Q533" s="13">
        <f t="shared" si="41"/>
        <v>2.6849999999999996</v>
      </c>
      <c r="R533" t="str">
        <f t="shared" si="43"/>
        <v>Robusta</v>
      </c>
      <c r="S533" t="str">
        <f t="shared" si="44"/>
        <v>Dark</v>
      </c>
      <c r="T533" t="str">
        <f>_xlfn.XLOOKUP(Orders[[#This Row],[Customer ID]],customers!$A$1:$A$1001,customers!$I$1:$I$1001,,0)</f>
        <v>No</v>
      </c>
    </row>
    <row r="534" spans="1:20" x14ac:dyDescent="0.35">
      <c r="A534" s="2" t="s">
        <v>3499</v>
      </c>
      <c r="B534" s="3">
        <v>44330</v>
      </c>
      <c r="C534" s="2" t="s">
        <v>3500</v>
      </c>
      <c r="D534" t="s">
        <v>6139</v>
      </c>
      <c r="E534" t="str">
        <f t="shared" si="42"/>
        <v>Excelsa-Medium-0.5</v>
      </c>
      <c r="F534" s="2">
        <v>2</v>
      </c>
      <c r="G534" s="2" t="str" cm="1">
        <f t="array" ref="G534">_xlfn.XLOOKUP(C534, customers!$A$1:A1533,customers!$B$1:B1533,,0)</f>
        <v>Nannie Naseby</v>
      </c>
      <c r="H534" s="2" t="str" cm="1">
        <f t="array" ref="H534">IF(_xlfn.XLOOKUP(C534,customers!$A$1:A1533,customers!$C$1:C1533,,0) = 0,"", _xlfn.XLOOKUP(C534,customers!$A$1:A1533,customers!$C$1:C1533,,0))</f>
        <v>nnasebyes@umich.edu</v>
      </c>
      <c r="I534" s="2" t="str">
        <f>_xlfn.XLOOKUP(C534,customers!$A$1:$A$1001,customers!$G$1:$G$1001,,0)</f>
        <v>United States</v>
      </c>
      <c r="J534" s="2" t="str">
        <f>_xlfn.XLOOKUP(Orders[[#This Row],[Customer ID]],customers!$A$1:$A$1001,customers!$F$1:$F$1001,,0)</f>
        <v>Winter Haven</v>
      </c>
      <c r="K534" t="str">
        <f>INDEX(products!$A$1:$G$49,MATCH(orders!$D534,products!$A$1:$A$49,0),MATCH(orders!K$1,products!$A$1:$G$1,0))</f>
        <v>Exc</v>
      </c>
      <c r="L534" t="str">
        <f>INDEX(products!$A$1:$G$49,MATCH(orders!$D534,products!$A$1:$A$49,0),MATCH(orders!L$1,products!$A$1:$G$1,0))</f>
        <v>M</v>
      </c>
      <c r="M534" s="14">
        <f>INDEX(products!$A$1:$G$49,MATCH(orders!$D534,products!$A$1:$A$49,0),MATCH(orders!M$1,products!$A$1:$G$1,0))</f>
        <v>0.5</v>
      </c>
      <c r="N534" s="4">
        <f>INDEX(products!$A$1:$G$49,MATCH(orders!$D534,products!$A$1:$A$49,0),MATCH(orders!N$1,products!$A$1:$G$1,0))</f>
        <v>8.25</v>
      </c>
      <c r="O534" s="13">
        <f t="shared" si="40"/>
        <v>16.5</v>
      </c>
      <c r="P534" s="13">
        <f>_xlfn.XLOOKUP(Orders[[#This Row],[Product ID]],products!$A$1:$A$49,products!$G$1:$G$49,,0)</f>
        <v>0.90749999999999997</v>
      </c>
      <c r="Q534" s="13">
        <f t="shared" si="41"/>
        <v>1.8149999999999999</v>
      </c>
      <c r="R534" t="str">
        <f t="shared" si="43"/>
        <v>Execelsa</v>
      </c>
      <c r="S534" t="str">
        <f t="shared" si="44"/>
        <v>Medium</v>
      </c>
      <c r="T534" t="str">
        <f>_xlfn.XLOOKUP(Orders[[#This Row],[Customer ID]],customers!$A$1:$A$1001,customers!$I$1:$I$1001,,0)</f>
        <v>Yes</v>
      </c>
    </row>
    <row r="535" spans="1:20" x14ac:dyDescent="0.35">
      <c r="A535" s="2" t="s">
        <v>3505</v>
      </c>
      <c r="B535" s="3">
        <v>44724</v>
      </c>
      <c r="C535" s="2" t="s">
        <v>3506</v>
      </c>
      <c r="D535" t="s">
        <v>6172</v>
      </c>
      <c r="E535" t="str">
        <f t="shared" si="42"/>
        <v>Robusta-Dark-0.5</v>
      </c>
      <c r="F535" s="2">
        <v>4</v>
      </c>
      <c r="G535" s="2" t="str" cm="1">
        <f t="array" ref="G535">_xlfn.XLOOKUP(C535, customers!$A$1:A1534,customers!$B$1:B1534,,0)</f>
        <v>Rea Offell</v>
      </c>
      <c r="H535" s="2" t="str" cm="1">
        <f t="array" ref="H535">IF(_xlfn.XLOOKUP(C535,customers!$A$1:A1534,customers!$C$1:C1534,,0) = 0,"", _xlfn.XLOOKUP(C535,customers!$A$1:A1534,customers!$C$1:C1534,,0))</f>
        <v/>
      </c>
      <c r="I535" s="2" t="str">
        <f>_xlfn.XLOOKUP(C535,customers!$A$1:$A$1001,customers!$G$1:$G$1001,,0)</f>
        <v>United States</v>
      </c>
      <c r="J535" s="2" t="str">
        <f>_xlfn.XLOOKUP(Orders[[#This Row],[Customer ID]],customers!$A$1:$A$1001,customers!$F$1:$F$1001,,0)</f>
        <v>Dallas</v>
      </c>
      <c r="K535" t="str">
        <f>INDEX(products!$A$1:$G$49,MATCH(orders!$D535,products!$A$1:$A$49,0),MATCH(orders!K$1,products!$A$1:$G$1,0))</f>
        <v>Rob</v>
      </c>
      <c r="L535" t="str">
        <f>INDEX(products!$A$1:$G$49,MATCH(orders!$D535,products!$A$1:$A$49,0),MATCH(orders!L$1,products!$A$1:$G$1,0))</f>
        <v>D</v>
      </c>
      <c r="M535" s="14">
        <f>INDEX(products!$A$1:$G$49,MATCH(orders!$D535,products!$A$1:$A$49,0),MATCH(orders!M$1,products!$A$1:$G$1,0))</f>
        <v>0.5</v>
      </c>
      <c r="N535" s="4">
        <f>INDEX(products!$A$1:$G$49,MATCH(orders!$D535,products!$A$1:$A$49,0),MATCH(orders!N$1,products!$A$1:$G$1,0))</f>
        <v>5.3699999999999992</v>
      </c>
      <c r="O535" s="13">
        <f t="shared" si="40"/>
        <v>21.479999999999997</v>
      </c>
      <c r="P535" s="13">
        <f>_xlfn.XLOOKUP(Orders[[#This Row],[Product ID]],products!$A$1:$A$49,products!$G$1:$G$49,,0)</f>
        <v>0.32219999999999993</v>
      </c>
      <c r="Q535" s="13">
        <f t="shared" si="41"/>
        <v>1.2887999999999997</v>
      </c>
      <c r="R535" t="str">
        <f t="shared" si="43"/>
        <v>Robusta</v>
      </c>
      <c r="S535" t="str">
        <f t="shared" si="44"/>
        <v>Dark</v>
      </c>
      <c r="T535" t="str">
        <f>_xlfn.XLOOKUP(Orders[[#This Row],[Customer ID]],customers!$A$1:$A$1001,customers!$I$1:$I$1001,,0)</f>
        <v>No</v>
      </c>
    </row>
    <row r="536" spans="1:20" x14ac:dyDescent="0.35">
      <c r="A536" s="2" t="s">
        <v>3510</v>
      </c>
      <c r="B536" s="3">
        <v>44563</v>
      </c>
      <c r="C536" s="2" t="s">
        <v>3511</v>
      </c>
      <c r="D536" t="s">
        <v>6151</v>
      </c>
      <c r="E536" t="str">
        <f t="shared" si="42"/>
        <v>Robusta-Medium-2.5</v>
      </c>
      <c r="F536" s="2">
        <v>2</v>
      </c>
      <c r="G536" s="2" t="str" cm="1">
        <f t="array" ref="G536">_xlfn.XLOOKUP(C536, customers!$A$1:A1535,customers!$B$1:B1535,,0)</f>
        <v>Kris O'Cullen</v>
      </c>
      <c r="H536" s="2" t="str" cm="1">
        <f t="array" ref="H536">IF(_xlfn.XLOOKUP(C536,customers!$A$1:A1535,customers!$C$1:C1535,,0) = 0,"", _xlfn.XLOOKUP(C536,customers!$A$1:A1535,customers!$C$1:C1535,,0))</f>
        <v>koculleneu@ca.gov</v>
      </c>
      <c r="I536" s="2" t="str">
        <f>_xlfn.XLOOKUP(C536,customers!$A$1:$A$1001,customers!$G$1:$G$1001,,0)</f>
        <v>Ireland</v>
      </c>
      <c r="J536" s="2" t="str">
        <f>_xlfn.XLOOKUP(Orders[[#This Row],[Customer ID]],customers!$A$1:$A$1001,customers!$F$1:$F$1001,,0)</f>
        <v>Adare</v>
      </c>
      <c r="K536" t="str">
        <f>INDEX(products!$A$1:$G$49,MATCH(orders!$D536,products!$A$1:$A$49,0),MATCH(orders!K$1,products!$A$1:$G$1,0))</f>
        <v>Rob</v>
      </c>
      <c r="L536" t="str">
        <f>INDEX(products!$A$1:$G$49,MATCH(orders!$D536,products!$A$1:$A$49,0),MATCH(orders!L$1,products!$A$1:$G$1,0))</f>
        <v>M</v>
      </c>
      <c r="M536" s="14">
        <f>INDEX(products!$A$1:$G$49,MATCH(orders!$D536,products!$A$1:$A$49,0),MATCH(orders!M$1,products!$A$1:$G$1,0))</f>
        <v>2.5</v>
      </c>
      <c r="N536" s="4">
        <f>INDEX(products!$A$1:$G$49,MATCH(orders!$D536,products!$A$1:$A$49,0),MATCH(orders!N$1,products!$A$1:$G$1,0))</f>
        <v>22.884999999999998</v>
      </c>
      <c r="O536" s="13">
        <f t="shared" si="40"/>
        <v>45.769999999999996</v>
      </c>
      <c r="P536" s="13">
        <f>_xlfn.XLOOKUP(Orders[[#This Row],[Product ID]],products!$A$1:$A$49,products!$G$1:$G$49,,0)</f>
        <v>1.3730999999999998</v>
      </c>
      <c r="Q536" s="13">
        <f t="shared" si="41"/>
        <v>2.7461999999999995</v>
      </c>
      <c r="R536" t="str">
        <f t="shared" si="43"/>
        <v>Robusta</v>
      </c>
      <c r="S536" t="str">
        <f t="shared" si="44"/>
        <v>Medium</v>
      </c>
      <c r="T536" t="str">
        <f>_xlfn.XLOOKUP(Orders[[#This Row],[Customer ID]],customers!$A$1:$A$1001,customers!$I$1:$I$1001,,0)</f>
        <v>Yes</v>
      </c>
    </row>
    <row r="537" spans="1:20" x14ac:dyDescent="0.35">
      <c r="A537" s="2" t="s">
        <v>3516</v>
      </c>
      <c r="B537" s="3">
        <v>44585</v>
      </c>
      <c r="C537" s="2" t="s">
        <v>3517</v>
      </c>
      <c r="D537" t="s">
        <v>6145</v>
      </c>
      <c r="E537" t="str">
        <f t="shared" si="42"/>
        <v>Liberica-Light-0.2</v>
      </c>
      <c r="F537" s="2">
        <v>2</v>
      </c>
      <c r="G537" s="2" t="str" cm="1">
        <f t="array" ref="G537">_xlfn.XLOOKUP(C537, customers!$A$1:A1536,customers!$B$1:B1536,,0)</f>
        <v>Timoteo Glisane</v>
      </c>
      <c r="H537" s="2" t="str" cm="1">
        <f t="array" ref="H537">IF(_xlfn.XLOOKUP(C537,customers!$A$1:A1536,customers!$C$1:C1536,,0) = 0,"", _xlfn.XLOOKUP(C537,customers!$A$1:A1536,customers!$C$1:C1536,,0))</f>
        <v/>
      </c>
      <c r="I537" s="2" t="str">
        <f>_xlfn.XLOOKUP(C537,customers!$A$1:$A$1001,customers!$G$1:$G$1001,,0)</f>
        <v>Ireland</v>
      </c>
      <c r="J537" s="2" t="str">
        <f>_xlfn.XLOOKUP(Orders[[#This Row],[Customer ID]],customers!$A$1:$A$1001,customers!$F$1:$F$1001,,0)</f>
        <v>Ballivor</v>
      </c>
      <c r="K537" t="str">
        <f>INDEX(products!$A$1:$G$49,MATCH(orders!$D537,products!$A$1:$A$49,0),MATCH(orders!K$1,products!$A$1:$G$1,0))</f>
        <v>Lib</v>
      </c>
      <c r="L537" t="str">
        <f>INDEX(products!$A$1:$G$49,MATCH(orders!$D537,products!$A$1:$A$49,0),MATCH(orders!L$1,products!$A$1:$G$1,0))</f>
        <v>L</v>
      </c>
      <c r="M537" s="14">
        <f>INDEX(products!$A$1:$G$49,MATCH(orders!$D537,products!$A$1:$A$49,0),MATCH(orders!M$1,products!$A$1:$G$1,0))</f>
        <v>0.2</v>
      </c>
      <c r="N537" s="4">
        <f>INDEX(products!$A$1:$G$49,MATCH(orders!$D537,products!$A$1:$A$49,0),MATCH(orders!N$1,products!$A$1:$G$1,0))</f>
        <v>4.7549999999999999</v>
      </c>
      <c r="O537" s="13">
        <f t="shared" si="40"/>
        <v>9.51</v>
      </c>
      <c r="P537" s="13">
        <f>_xlfn.XLOOKUP(Orders[[#This Row],[Product ID]],products!$A$1:$A$49,products!$G$1:$G$49,,0)</f>
        <v>0.61814999999999998</v>
      </c>
      <c r="Q537" s="13">
        <f t="shared" si="41"/>
        <v>1.2363</v>
      </c>
      <c r="R537" t="str">
        <f t="shared" si="43"/>
        <v>Liberica</v>
      </c>
      <c r="S537" t="str">
        <f t="shared" si="44"/>
        <v>Light</v>
      </c>
      <c r="T537" t="str">
        <f>_xlfn.XLOOKUP(Orders[[#This Row],[Customer ID]],customers!$A$1:$A$1001,customers!$I$1:$I$1001,,0)</f>
        <v>No</v>
      </c>
    </row>
    <row r="538" spans="1:20" x14ac:dyDescent="0.35">
      <c r="A538" s="2" t="s">
        <v>3521</v>
      </c>
      <c r="B538" s="3">
        <v>43544</v>
      </c>
      <c r="C538" s="2" t="s">
        <v>3368</v>
      </c>
      <c r="D538" t="s">
        <v>6163</v>
      </c>
      <c r="E538" t="str">
        <f t="shared" si="42"/>
        <v>Robusta-Dark-0.2</v>
      </c>
      <c r="F538" s="2">
        <v>3</v>
      </c>
      <c r="G538" s="2" t="str" cm="1">
        <f t="array" ref="G538">_xlfn.XLOOKUP(C538, customers!$A$1:A1537,customers!$B$1:B1537,,0)</f>
        <v>Marja Urion</v>
      </c>
      <c r="H538" s="2" t="str" cm="1">
        <f t="array" ref="H538">IF(_xlfn.XLOOKUP(C538,customers!$A$1:A1537,customers!$C$1:C1537,,0) = 0,"", _xlfn.XLOOKUP(C538,customers!$A$1:A1537,customers!$C$1:C1537,,0))</f>
        <v>murione5@alexa.com</v>
      </c>
      <c r="I538" s="2" t="str">
        <f>_xlfn.XLOOKUP(C538,customers!$A$1:$A$1001,customers!$G$1:$G$1001,,0)</f>
        <v>Ireland</v>
      </c>
      <c r="J538" s="2" t="str">
        <f>_xlfn.XLOOKUP(Orders[[#This Row],[Customer ID]],customers!$A$1:$A$1001,customers!$F$1:$F$1001,,0)</f>
        <v>Virginia</v>
      </c>
      <c r="K538" t="str">
        <f>INDEX(products!$A$1:$G$49,MATCH(orders!$D538,products!$A$1:$A$49,0),MATCH(orders!K$1,products!$A$1:$G$1,0))</f>
        <v>Rob</v>
      </c>
      <c r="L538" t="str">
        <f>INDEX(products!$A$1:$G$49,MATCH(orders!$D538,products!$A$1:$A$49,0),MATCH(orders!L$1,products!$A$1:$G$1,0))</f>
        <v>D</v>
      </c>
      <c r="M538" s="14">
        <f>INDEX(products!$A$1:$G$49,MATCH(orders!$D538,products!$A$1:$A$49,0),MATCH(orders!M$1,products!$A$1:$G$1,0))</f>
        <v>0.2</v>
      </c>
      <c r="N538" s="4">
        <f>INDEX(products!$A$1:$G$49,MATCH(orders!$D538,products!$A$1:$A$49,0),MATCH(orders!N$1,products!$A$1:$G$1,0))</f>
        <v>2.6849999999999996</v>
      </c>
      <c r="O538" s="13">
        <f t="shared" si="40"/>
        <v>8.0549999999999997</v>
      </c>
      <c r="P538" s="13">
        <f>_xlfn.XLOOKUP(Orders[[#This Row],[Product ID]],products!$A$1:$A$49,products!$G$1:$G$49,,0)</f>
        <v>0.16109999999999997</v>
      </c>
      <c r="Q538" s="13">
        <f t="shared" si="41"/>
        <v>0.4832999999999999</v>
      </c>
      <c r="R538" t="str">
        <f t="shared" si="43"/>
        <v>Robusta</v>
      </c>
      <c r="S538" t="str">
        <f t="shared" si="44"/>
        <v>Dark</v>
      </c>
      <c r="T538" t="str">
        <f>_xlfn.XLOOKUP(Orders[[#This Row],[Customer ID]],customers!$A$1:$A$1001,customers!$I$1:$I$1001,,0)</f>
        <v>Yes</v>
      </c>
    </row>
    <row r="539" spans="1:20" x14ac:dyDescent="0.35">
      <c r="A539" s="2" t="s">
        <v>3527</v>
      </c>
      <c r="B539" s="3">
        <v>44156</v>
      </c>
      <c r="C539" s="2" t="s">
        <v>3528</v>
      </c>
      <c r="D539" t="s">
        <v>6185</v>
      </c>
      <c r="E539" t="str">
        <f t="shared" si="42"/>
        <v>Excelsa-Dark-2.5</v>
      </c>
      <c r="F539" s="2">
        <v>4</v>
      </c>
      <c r="G539" s="2" t="str" cm="1">
        <f t="array" ref="G539">_xlfn.XLOOKUP(C539, customers!$A$1:A1538,customers!$B$1:B1538,,0)</f>
        <v>Hildegarde Brangan</v>
      </c>
      <c r="H539" s="2" t="str" cm="1">
        <f t="array" ref="H539">IF(_xlfn.XLOOKUP(C539,customers!$A$1:A1538,customers!$C$1:C1538,,0) = 0,"", _xlfn.XLOOKUP(C539,customers!$A$1:A1538,customers!$C$1:C1538,,0))</f>
        <v>hbranganex@woothemes.com</v>
      </c>
      <c r="I539" s="2" t="str">
        <f>_xlfn.XLOOKUP(C539,customers!$A$1:$A$1001,customers!$G$1:$G$1001,,0)</f>
        <v>United States</v>
      </c>
      <c r="J539" s="2" t="str">
        <f>_xlfn.XLOOKUP(Orders[[#This Row],[Customer ID]],customers!$A$1:$A$1001,customers!$F$1:$F$1001,,0)</f>
        <v>Evansville</v>
      </c>
      <c r="K539" t="str">
        <f>INDEX(products!$A$1:$G$49,MATCH(orders!$D539,products!$A$1:$A$49,0),MATCH(orders!K$1,products!$A$1:$G$1,0))</f>
        <v>Exc</v>
      </c>
      <c r="L539" t="str">
        <f>INDEX(products!$A$1:$G$49,MATCH(orders!$D539,products!$A$1:$A$49,0),MATCH(orders!L$1,products!$A$1:$G$1,0))</f>
        <v>D</v>
      </c>
      <c r="M539" s="14">
        <f>INDEX(products!$A$1:$G$49,MATCH(orders!$D539,products!$A$1:$A$49,0),MATCH(orders!M$1,products!$A$1:$G$1,0))</f>
        <v>2.5</v>
      </c>
      <c r="N539" s="4">
        <f>INDEX(products!$A$1:$G$49,MATCH(orders!$D539,products!$A$1:$A$49,0),MATCH(orders!N$1,products!$A$1:$G$1,0))</f>
        <v>27.945</v>
      </c>
      <c r="O539" s="13">
        <f t="shared" si="40"/>
        <v>111.78</v>
      </c>
      <c r="P539" s="13">
        <f>_xlfn.XLOOKUP(Orders[[#This Row],[Product ID]],products!$A$1:$A$49,products!$G$1:$G$49,,0)</f>
        <v>3.07395</v>
      </c>
      <c r="Q539" s="13">
        <f t="shared" si="41"/>
        <v>12.2958</v>
      </c>
      <c r="R539" t="str">
        <f t="shared" si="43"/>
        <v>Execelsa</v>
      </c>
      <c r="S539" t="str">
        <f t="shared" si="44"/>
        <v>Dark</v>
      </c>
      <c r="T539" t="str">
        <f>_xlfn.XLOOKUP(Orders[[#This Row],[Customer ID]],customers!$A$1:$A$1001,customers!$I$1:$I$1001,,0)</f>
        <v>Yes</v>
      </c>
    </row>
    <row r="540" spans="1:20" x14ac:dyDescent="0.35">
      <c r="A540" s="2" t="s">
        <v>3532</v>
      </c>
      <c r="B540" s="3">
        <v>44482</v>
      </c>
      <c r="C540" s="2" t="s">
        <v>3533</v>
      </c>
      <c r="D540" t="s">
        <v>6163</v>
      </c>
      <c r="E540" t="str">
        <f t="shared" si="42"/>
        <v>Robusta-Dark-0.2</v>
      </c>
      <c r="F540" s="2">
        <v>4</v>
      </c>
      <c r="G540" s="2" t="str" cm="1">
        <f t="array" ref="G540">_xlfn.XLOOKUP(C540, customers!$A$1:A1539,customers!$B$1:B1539,,0)</f>
        <v>Amii Gallyon</v>
      </c>
      <c r="H540" s="2" t="str" cm="1">
        <f t="array" ref="H540">IF(_xlfn.XLOOKUP(C540,customers!$A$1:A1539,customers!$C$1:C1539,,0) = 0,"", _xlfn.XLOOKUP(C540,customers!$A$1:A1539,customers!$C$1:C1539,,0))</f>
        <v>agallyoney@engadget.com</v>
      </c>
      <c r="I540" s="2" t="str">
        <f>_xlfn.XLOOKUP(C540,customers!$A$1:$A$1001,customers!$G$1:$G$1001,,0)</f>
        <v>United States</v>
      </c>
      <c r="J540" s="2" t="str">
        <f>_xlfn.XLOOKUP(Orders[[#This Row],[Customer ID]],customers!$A$1:$A$1001,customers!$F$1:$F$1001,,0)</f>
        <v>Naperville</v>
      </c>
      <c r="K540" t="str">
        <f>INDEX(products!$A$1:$G$49,MATCH(orders!$D540,products!$A$1:$A$49,0),MATCH(orders!K$1,products!$A$1:$G$1,0))</f>
        <v>Rob</v>
      </c>
      <c r="L540" t="str">
        <f>INDEX(products!$A$1:$G$49,MATCH(orders!$D540,products!$A$1:$A$49,0),MATCH(orders!L$1,products!$A$1:$G$1,0))</f>
        <v>D</v>
      </c>
      <c r="M540" s="14">
        <f>INDEX(products!$A$1:$G$49,MATCH(orders!$D540,products!$A$1:$A$49,0),MATCH(orders!M$1,products!$A$1:$G$1,0))</f>
        <v>0.2</v>
      </c>
      <c r="N540" s="4">
        <f>INDEX(products!$A$1:$G$49,MATCH(orders!$D540,products!$A$1:$A$49,0),MATCH(orders!N$1,products!$A$1:$G$1,0))</f>
        <v>2.6849999999999996</v>
      </c>
      <c r="O540" s="13">
        <f t="shared" si="40"/>
        <v>10.739999999999998</v>
      </c>
      <c r="P540" s="13">
        <f>_xlfn.XLOOKUP(Orders[[#This Row],[Product ID]],products!$A$1:$A$49,products!$G$1:$G$49,,0)</f>
        <v>0.16109999999999997</v>
      </c>
      <c r="Q540" s="13">
        <f t="shared" si="41"/>
        <v>0.64439999999999986</v>
      </c>
      <c r="R540" t="str">
        <f t="shared" si="43"/>
        <v>Robusta</v>
      </c>
      <c r="S540" t="str">
        <f t="shared" si="44"/>
        <v>Dark</v>
      </c>
      <c r="T540" t="str">
        <f>_xlfn.XLOOKUP(Orders[[#This Row],[Customer ID]],customers!$A$1:$A$1001,customers!$I$1:$I$1001,,0)</f>
        <v>Yes</v>
      </c>
    </row>
    <row r="541" spans="1:20" x14ac:dyDescent="0.35">
      <c r="A541" s="2" t="s">
        <v>3537</v>
      </c>
      <c r="B541" s="3">
        <v>44488</v>
      </c>
      <c r="C541" s="2" t="s">
        <v>3538</v>
      </c>
      <c r="D541" t="s">
        <v>6172</v>
      </c>
      <c r="E541" t="str">
        <f t="shared" si="42"/>
        <v>Robusta-Dark-0.5</v>
      </c>
      <c r="F541" s="2">
        <v>5</v>
      </c>
      <c r="G541" s="2" t="str" cm="1">
        <f t="array" ref="G541">_xlfn.XLOOKUP(C541, customers!$A$1:A1540,customers!$B$1:B1540,,0)</f>
        <v>Birgit Domange</v>
      </c>
      <c r="H541" s="2" t="str" cm="1">
        <f t="array" ref="H541">IF(_xlfn.XLOOKUP(C541,customers!$A$1:A1540,customers!$C$1:C1540,,0) = 0,"", _xlfn.XLOOKUP(C541,customers!$A$1:A1540,customers!$C$1:C1540,,0))</f>
        <v>bdomangeez@yahoo.co.jp</v>
      </c>
      <c r="I541" s="2" t="str">
        <f>_xlfn.XLOOKUP(C541,customers!$A$1:$A$1001,customers!$G$1:$G$1001,,0)</f>
        <v>United States</v>
      </c>
      <c r="J541" s="2" t="str">
        <f>_xlfn.XLOOKUP(Orders[[#This Row],[Customer ID]],customers!$A$1:$A$1001,customers!$F$1:$F$1001,,0)</f>
        <v>Charleston</v>
      </c>
      <c r="K541" t="str">
        <f>INDEX(products!$A$1:$G$49,MATCH(orders!$D541,products!$A$1:$A$49,0),MATCH(orders!K$1,products!$A$1:$G$1,0))</f>
        <v>Rob</v>
      </c>
      <c r="L541" t="str">
        <f>INDEX(products!$A$1:$G$49,MATCH(orders!$D541,products!$A$1:$A$49,0),MATCH(orders!L$1,products!$A$1:$G$1,0))</f>
        <v>D</v>
      </c>
      <c r="M541" s="14">
        <f>INDEX(products!$A$1:$G$49,MATCH(orders!$D541,products!$A$1:$A$49,0),MATCH(orders!M$1,products!$A$1:$G$1,0))</f>
        <v>0.5</v>
      </c>
      <c r="N541" s="4">
        <f>INDEX(products!$A$1:$G$49,MATCH(orders!$D541,products!$A$1:$A$49,0),MATCH(orders!N$1,products!$A$1:$G$1,0))</f>
        <v>5.3699999999999992</v>
      </c>
      <c r="O541" s="13">
        <f t="shared" si="40"/>
        <v>26.849999999999994</v>
      </c>
      <c r="P541" s="13">
        <f>_xlfn.XLOOKUP(Orders[[#This Row],[Product ID]],products!$A$1:$A$49,products!$G$1:$G$49,,0)</f>
        <v>0.32219999999999993</v>
      </c>
      <c r="Q541" s="13">
        <f t="shared" si="41"/>
        <v>1.6109999999999998</v>
      </c>
      <c r="R541" t="str">
        <f t="shared" si="43"/>
        <v>Robusta</v>
      </c>
      <c r="S541" t="str">
        <f t="shared" si="44"/>
        <v>Dark</v>
      </c>
      <c r="T541" t="str">
        <f>_xlfn.XLOOKUP(Orders[[#This Row],[Customer ID]],customers!$A$1:$A$1001,customers!$I$1:$I$1001,,0)</f>
        <v>No</v>
      </c>
    </row>
    <row r="542" spans="1:20" x14ac:dyDescent="0.35">
      <c r="A542" s="2" t="s">
        <v>3542</v>
      </c>
      <c r="B542" s="3">
        <v>43584</v>
      </c>
      <c r="C542" s="2" t="s">
        <v>3543</v>
      </c>
      <c r="D542" t="s">
        <v>6170</v>
      </c>
      <c r="E542" t="str">
        <f t="shared" si="42"/>
        <v>Liberica-Light-1</v>
      </c>
      <c r="F542" s="2">
        <v>4</v>
      </c>
      <c r="G542" s="2" t="str" cm="1">
        <f t="array" ref="G542">_xlfn.XLOOKUP(C542, customers!$A$1:A1541,customers!$B$1:B1541,,0)</f>
        <v>Killian Osler</v>
      </c>
      <c r="H542" s="2" t="str" cm="1">
        <f t="array" ref="H542">IF(_xlfn.XLOOKUP(C542,customers!$A$1:A1541,customers!$C$1:C1541,,0) = 0,"", _xlfn.XLOOKUP(C542,customers!$A$1:A1541,customers!$C$1:C1541,,0))</f>
        <v>koslerf0@gmpg.org</v>
      </c>
      <c r="I542" s="2" t="str">
        <f>_xlfn.XLOOKUP(C542,customers!$A$1:$A$1001,customers!$G$1:$G$1001,,0)</f>
        <v>United States</v>
      </c>
      <c r="J542" s="2" t="str">
        <f>_xlfn.XLOOKUP(Orders[[#This Row],[Customer ID]],customers!$A$1:$A$1001,customers!$F$1:$F$1001,,0)</f>
        <v>Lansing</v>
      </c>
      <c r="K542" t="str">
        <f>INDEX(products!$A$1:$G$49,MATCH(orders!$D542,products!$A$1:$A$49,0),MATCH(orders!K$1,products!$A$1:$G$1,0))</f>
        <v>Lib</v>
      </c>
      <c r="L542" t="str">
        <f>INDEX(products!$A$1:$G$49,MATCH(orders!$D542,products!$A$1:$A$49,0),MATCH(orders!L$1,products!$A$1:$G$1,0))</f>
        <v>L</v>
      </c>
      <c r="M542" s="14">
        <f>INDEX(products!$A$1:$G$49,MATCH(orders!$D542,products!$A$1:$A$49,0),MATCH(orders!M$1,products!$A$1:$G$1,0))</f>
        <v>1</v>
      </c>
      <c r="N542" s="4">
        <f>INDEX(products!$A$1:$G$49,MATCH(orders!$D542,products!$A$1:$A$49,0),MATCH(orders!N$1,products!$A$1:$G$1,0))</f>
        <v>15.85</v>
      </c>
      <c r="O542" s="13">
        <f t="shared" si="40"/>
        <v>63.4</v>
      </c>
      <c r="P542" s="13">
        <f>_xlfn.XLOOKUP(Orders[[#This Row],[Product ID]],products!$A$1:$A$49,products!$G$1:$G$49,,0)</f>
        <v>2.0605000000000002</v>
      </c>
      <c r="Q542" s="13">
        <f t="shared" si="41"/>
        <v>8.2420000000000009</v>
      </c>
      <c r="R542" t="str">
        <f t="shared" si="43"/>
        <v>Liberica</v>
      </c>
      <c r="S542" t="str">
        <f t="shared" si="44"/>
        <v>Light</v>
      </c>
      <c r="T542" t="str">
        <f>_xlfn.XLOOKUP(Orders[[#This Row],[Customer ID]],customers!$A$1:$A$1001,customers!$I$1:$I$1001,,0)</f>
        <v>Yes</v>
      </c>
    </row>
    <row r="543" spans="1:20" x14ac:dyDescent="0.35">
      <c r="A543" s="2" t="s">
        <v>3548</v>
      </c>
      <c r="B543" s="3">
        <v>43750</v>
      </c>
      <c r="C543" s="2" t="s">
        <v>3549</v>
      </c>
      <c r="D543" t="s">
        <v>6168</v>
      </c>
      <c r="E543" t="str">
        <f t="shared" si="42"/>
        <v>Arabica-Dark-2.5</v>
      </c>
      <c r="F543" s="2">
        <v>1</v>
      </c>
      <c r="G543" s="2" t="str" cm="1">
        <f t="array" ref="G543">_xlfn.XLOOKUP(C543, customers!$A$1:A1542,customers!$B$1:B1542,,0)</f>
        <v>Lora Dukes</v>
      </c>
      <c r="H543" s="2" t="str" cm="1">
        <f t="array" ref="H543">IF(_xlfn.XLOOKUP(C543,customers!$A$1:A1542,customers!$C$1:C1542,,0) = 0,"", _xlfn.XLOOKUP(C543,customers!$A$1:A1542,customers!$C$1:C1542,,0))</f>
        <v/>
      </c>
      <c r="I543" s="2" t="str">
        <f>_xlfn.XLOOKUP(C543,customers!$A$1:$A$1001,customers!$G$1:$G$1001,,0)</f>
        <v>Ireland</v>
      </c>
      <c r="J543" s="2" t="str">
        <f>_xlfn.XLOOKUP(Orders[[#This Row],[Customer ID]],customers!$A$1:$A$1001,customers!$F$1:$F$1001,,0)</f>
        <v>Boyle</v>
      </c>
      <c r="K543" t="str">
        <f>INDEX(products!$A$1:$G$49,MATCH(orders!$D543,products!$A$1:$A$49,0),MATCH(orders!K$1,products!$A$1:$G$1,0))</f>
        <v>Ara</v>
      </c>
      <c r="L543" t="str">
        <f>INDEX(products!$A$1:$G$49,MATCH(orders!$D543,products!$A$1:$A$49,0),MATCH(orders!L$1,products!$A$1:$G$1,0))</f>
        <v>D</v>
      </c>
      <c r="M543" s="14">
        <f>INDEX(products!$A$1:$G$49,MATCH(orders!$D543,products!$A$1:$A$49,0),MATCH(orders!M$1,products!$A$1:$G$1,0))</f>
        <v>2.5</v>
      </c>
      <c r="N543" s="4">
        <f>INDEX(products!$A$1:$G$49,MATCH(orders!$D543,products!$A$1:$A$49,0),MATCH(orders!N$1,products!$A$1:$G$1,0))</f>
        <v>22.884999999999998</v>
      </c>
      <c r="O543" s="13">
        <f t="shared" si="40"/>
        <v>22.884999999999998</v>
      </c>
      <c r="P543" s="13">
        <f>_xlfn.XLOOKUP(Orders[[#This Row],[Product ID]],products!$A$1:$A$49,products!$G$1:$G$49,,0)</f>
        <v>2.0596499999999995</v>
      </c>
      <c r="Q543" s="13">
        <f t="shared" si="41"/>
        <v>2.0596499999999995</v>
      </c>
      <c r="R543" t="str">
        <f t="shared" si="43"/>
        <v>Arabica</v>
      </c>
      <c r="S543" t="str">
        <f t="shared" si="44"/>
        <v>Dark</v>
      </c>
      <c r="T543" t="str">
        <f>_xlfn.XLOOKUP(Orders[[#This Row],[Customer ID]],customers!$A$1:$A$1001,customers!$I$1:$I$1001,,0)</f>
        <v>Yes</v>
      </c>
    </row>
    <row r="544" spans="1:20" x14ac:dyDescent="0.35">
      <c r="A544" s="2" t="s">
        <v>3553</v>
      </c>
      <c r="B544" s="3">
        <v>44335</v>
      </c>
      <c r="C544" s="2" t="s">
        <v>3554</v>
      </c>
      <c r="D544" t="s">
        <v>6175</v>
      </c>
      <c r="E544" t="str">
        <f t="shared" si="42"/>
        <v>Arabica-Medium-2.5</v>
      </c>
      <c r="F544" s="2">
        <v>4</v>
      </c>
      <c r="G544" s="2" t="str" cm="1">
        <f t="array" ref="G544">_xlfn.XLOOKUP(C544, customers!$A$1:A1543,customers!$B$1:B1543,,0)</f>
        <v>Zack Pellett</v>
      </c>
      <c r="H544" s="2" t="str" cm="1">
        <f t="array" ref="H544">IF(_xlfn.XLOOKUP(C544,customers!$A$1:A1543,customers!$C$1:C1543,,0) = 0,"", _xlfn.XLOOKUP(C544,customers!$A$1:A1543,customers!$C$1:C1543,,0))</f>
        <v>zpellettf2@dailymotion.com</v>
      </c>
      <c r="I544" s="2" t="str">
        <f>_xlfn.XLOOKUP(C544,customers!$A$1:$A$1001,customers!$G$1:$G$1001,,0)</f>
        <v>United States</v>
      </c>
      <c r="J544" s="2" t="str">
        <f>_xlfn.XLOOKUP(Orders[[#This Row],[Customer ID]],customers!$A$1:$A$1001,customers!$F$1:$F$1001,,0)</f>
        <v>Shreveport</v>
      </c>
      <c r="K544" t="str">
        <f>INDEX(products!$A$1:$G$49,MATCH(orders!$D544,products!$A$1:$A$49,0),MATCH(orders!K$1,products!$A$1:$G$1,0))</f>
        <v>Ara</v>
      </c>
      <c r="L544" t="str">
        <f>INDEX(products!$A$1:$G$49,MATCH(orders!$D544,products!$A$1:$A$49,0),MATCH(orders!L$1,products!$A$1:$G$1,0))</f>
        <v>M</v>
      </c>
      <c r="M544" s="14">
        <f>INDEX(products!$A$1:$G$49,MATCH(orders!$D544,products!$A$1:$A$49,0),MATCH(orders!M$1,products!$A$1:$G$1,0))</f>
        <v>2.5</v>
      </c>
      <c r="N544" s="4">
        <f>INDEX(products!$A$1:$G$49,MATCH(orders!$D544,products!$A$1:$A$49,0),MATCH(orders!N$1,products!$A$1:$G$1,0))</f>
        <v>25.874999999999996</v>
      </c>
      <c r="O544" s="13">
        <f t="shared" si="40"/>
        <v>103.49999999999999</v>
      </c>
      <c r="P544" s="13">
        <f>_xlfn.XLOOKUP(Orders[[#This Row],[Product ID]],products!$A$1:$A$49,products!$G$1:$G$49,,0)</f>
        <v>2.3287499999999994</v>
      </c>
      <c r="Q544" s="13">
        <f t="shared" si="41"/>
        <v>9.3149999999999977</v>
      </c>
      <c r="R544" t="str">
        <f t="shared" si="43"/>
        <v>Arabica</v>
      </c>
      <c r="S544" t="str">
        <f t="shared" si="44"/>
        <v>Medium</v>
      </c>
      <c r="T544" t="str">
        <f>_xlfn.XLOOKUP(Orders[[#This Row],[Customer ID]],customers!$A$1:$A$1001,customers!$I$1:$I$1001,,0)</f>
        <v>No</v>
      </c>
    </row>
    <row r="545" spans="1:20" x14ac:dyDescent="0.35">
      <c r="A545" s="2" t="s">
        <v>3559</v>
      </c>
      <c r="B545" s="3">
        <v>44380</v>
      </c>
      <c r="C545" s="2" t="s">
        <v>3560</v>
      </c>
      <c r="D545" t="s">
        <v>6142</v>
      </c>
      <c r="E545" t="str">
        <f t="shared" si="42"/>
        <v>Robusta-Light-2.5</v>
      </c>
      <c r="F545" s="2">
        <v>2</v>
      </c>
      <c r="G545" s="2" t="str" cm="1">
        <f t="array" ref="G545">_xlfn.XLOOKUP(C545, customers!$A$1:A1544,customers!$B$1:B1544,,0)</f>
        <v>Ilaire Sprakes</v>
      </c>
      <c r="H545" s="2" t="str" cm="1">
        <f t="array" ref="H545">IF(_xlfn.XLOOKUP(C545,customers!$A$1:A1544,customers!$C$1:C1544,,0) = 0,"", _xlfn.XLOOKUP(C545,customers!$A$1:A1544,customers!$C$1:C1544,,0))</f>
        <v>isprakesf3@spiegel.de</v>
      </c>
      <c r="I545" s="2" t="str">
        <f>_xlfn.XLOOKUP(C545,customers!$A$1:$A$1001,customers!$G$1:$G$1001,,0)</f>
        <v>United States</v>
      </c>
      <c r="J545" s="2" t="str">
        <f>_xlfn.XLOOKUP(Orders[[#This Row],[Customer ID]],customers!$A$1:$A$1001,customers!$F$1:$F$1001,,0)</f>
        <v>San Jose</v>
      </c>
      <c r="K545" t="str">
        <f>INDEX(products!$A$1:$G$49,MATCH(orders!$D545,products!$A$1:$A$49,0),MATCH(orders!K$1,products!$A$1:$G$1,0))</f>
        <v>Rob</v>
      </c>
      <c r="L545" t="str">
        <f>INDEX(products!$A$1:$G$49,MATCH(orders!$D545,products!$A$1:$A$49,0),MATCH(orders!L$1,products!$A$1:$G$1,0))</f>
        <v>L</v>
      </c>
      <c r="M545" s="14">
        <f>INDEX(products!$A$1:$G$49,MATCH(orders!$D545,products!$A$1:$A$49,0),MATCH(orders!M$1,products!$A$1:$G$1,0))</f>
        <v>2.5</v>
      </c>
      <c r="N545" s="4">
        <f>INDEX(products!$A$1:$G$49,MATCH(orders!$D545,products!$A$1:$A$49,0),MATCH(orders!N$1,products!$A$1:$G$1,0))</f>
        <v>27.484999999999996</v>
      </c>
      <c r="O545" s="13">
        <f t="shared" si="40"/>
        <v>54.969999999999992</v>
      </c>
      <c r="P545" s="13">
        <f>_xlfn.XLOOKUP(Orders[[#This Row],[Product ID]],products!$A$1:$A$49,products!$G$1:$G$49,,0)</f>
        <v>1.6490999999999998</v>
      </c>
      <c r="Q545" s="13">
        <f t="shared" si="41"/>
        <v>3.2981999999999996</v>
      </c>
      <c r="R545" t="str">
        <f t="shared" si="43"/>
        <v>Robusta</v>
      </c>
      <c r="S545" t="str">
        <f t="shared" si="44"/>
        <v>Light</v>
      </c>
      <c r="T545" t="str">
        <f>_xlfn.XLOOKUP(Orders[[#This Row],[Customer ID]],customers!$A$1:$A$1001,customers!$I$1:$I$1001,,0)</f>
        <v>No</v>
      </c>
    </row>
    <row r="546" spans="1:20" x14ac:dyDescent="0.35">
      <c r="A546" s="2" t="s">
        <v>3565</v>
      </c>
      <c r="B546" s="3">
        <v>43869</v>
      </c>
      <c r="C546" s="2" t="s">
        <v>3566</v>
      </c>
      <c r="D546" t="s">
        <v>6180</v>
      </c>
      <c r="E546" t="str">
        <f t="shared" si="42"/>
        <v>Arabica-Light-0.5</v>
      </c>
      <c r="F546" s="2">
        <v>2</v>
      </c>
      <c r="G546" s="2" t="str" cm="1">
        <f t="array" ref="G546">_xlfn.XLOOKUP(C546, customers!$A$1:A1545,customers!$B$1:B1545,,0)</f>
        <v>Heda Fromant</v>
      </c>
      <c r="H546" s="2" t="str" cm="1">
        <f t="array" ref="H546">IF(_xlfn.XLOOKUP(C546,customers!$A$1:A1545,customers!$C$1:C1545,,0) = 0,"", _xlfn.XLOOKUP(C546,customers!$A$1:A1545,customers!$C$1:C1545,,0))</f>
        <v>hfromantf4@ucsd.edu</v>
      </c>
      <c r="I546" s="2" t="str">
        <f>_xlfn.XLOOKUP(C546,customers!$A$1:$A$1001,customers!$G$1:$G$1001,,0)</f>
        <v>United States</v>
      </c>
      <c r="J546" s="2" t="str">
        <f>_xlfn.XLOOKUP(Orders[[#This Row],[Customer ID]],customers!$A$1:$A$1001,customers!$F$1:$F$1001,,0)</f>
        <v>Philadelphia</v>
      </c>
      <c r="K546" t="str">
        <f>INDEX(products!$A$1:$G$49,MATCH(orders!$D546,products!$A$1:$A$49,0),MATCH(orders!K$1,products!$A$1:$G$1,0))</f>
        <v>Ara</v>
      </c>
      <c r="L546" t="str">
        <f>INDEX(products!$A$1:$G$49,MATCH(orders!$D546,products!$A$1:$A$49,0),MATCH(orders!L$1,products!$A$1:$G$1,0))</f>
        <v>L</v>
      </c>
      <c r="M546" s="14">
        <f>INDEX(products!$A$1:$G$49,MATCH(orders!$D546,products!$A$1:$A$49,0),MATCH(orders!M$1,products!$A$1:$G$1,0))</f>
        <v>0.5</v>
      </c>
      <c r="N546" s="4">
        <f>INDEX(products!$A$1:$G$49,MATCH(orders!$D546,products!$A$1:$A$49,0),MATCH(orders!N$1,products!$A$1:$G$1,0))</f>
        <v>7.77</v>
      </c>
      <c r="O546" s="13">
        <f t="shared" si="40"/>
        <v>15.54</v>
      </c>
      <c r="P546" s="13">
        <f>_xlfn.XLOOKUP(Orders[[#This Row],[Product ID]],products!$A$1:$A$49,products!$G$1:$G$49,,0)</f>
        <v>0.69929999999999992</v>
      </c>
      <c r="Q546" s="13">
        <f t="shared" si="41"/>
        <v>1.3985999999999998</v>
      </c>
      <c r="R546" t="str">
        <f t="shared" si="43"/>
        <v>Arabica</v>
      </c>
      <c r="S546" t="str">
        <f t="shared" si="44"/>
        <v>Light</v>
      </c>
      <c r="T546" t="str">
        <f>_xlfn.XLOOKUP(Orders[[#This Row],[Customer ID]],customers!$A$1:$A$1001,customers!$I$1:$I$1001,,0)</f>
        <v>No</v>
      </c>
    </row>
    <row r="547" spans="1:20" x14ac:dyDescent="0.35">
      <c r="A547" s="2" t="s">
        <v>3571</v>
      </c>
      <c r="B547" s="3">
        <v>44120</v>
      </c>
      <c r="C547" s="2" t="s">
        <v>3572</v>
      </c>
      <c r="D547" t="s">
        <v>6150</v>
      </c>
      <c r="E547" t="str">
        <f t="shared" si="42"/>
        <v>Liberica-Dark-0.2</v>
      </c>
      <c r="F547" s="2">
        <v>4</v>
      </c>
      <c r="G547" s="2" t="str" cm="1">
        <f t="array" ref="G547">_xlfn.XLOOKUP(C547, customers!$A$1:A1546,customers!$B$1:B1546,,0)</f>
        <v>Rufus Flear</v>
      </c>
      <c r="H547" s="2" t="str" cm="1">
        <f t="array" ref="H547">IF(_xlfn.XLOOKUP(C547,customers!$A$1:A1546,customers!$C$1:C1546,,0) = 0,"", _xlfn.XLOOKUP(C547,customers!$A$1:A1546,customers!$C$1:C1546,,0))</f>
        <v>rflearf5@artisteer.com</v>
      </c>
      <c r="I547" s="2" t="str">
        <f>_xlfn.XLOOKUP(C547,customers!$A$1:$A$1001,customers!$G$1:$G$1001,,0)</f>
        <v>United Kingdom</v>
      </c>
      <c r="J547" s="2" t="str">
        <f>_xlfn.XLOOKUP(Orders[[#This Row],[Customer ID]],customers!$A$1:$A$1001,customers!$F$1:$F$1001,,0)</f>
        <v>Sheffield</v>
      </c>
      <c r="K547" t="str">
        <f>INDEX(products!$A$1:$G$49,MATCH(orders!$D547,products!$A$1:$A$49,0),MATCH(orders!K$1,products!$A$1:$G$1,0))</f>
        <v>Lib</v>
      </c>
      <c r="L547" t="str">
        <f>INDEX(products!$A$1:$G$49,MATCH(orders!$D547,products!$A$1:$A$49,0),MATCH(orders!L$1,products!$A$1:$G$1,0))</f>
        <v>D</v>
      </c>
      <c r="M547" s="14">
        <f>INDEX(products!$A$1:$G$49,MATCH(orders!$D547,products!$A$1:$A$49,0),MATCH(orders!M$1,products!$A$1:$G$1,0))</f>
        <v>0.2</v>
      </c>
      <c r="N547" s="4">
        <f>INDEX(products!$A$1:$G$49,MATCH(orders!$D547,products!$A$1:$A$49,0),MATCH(orders!N$1,products!$A$1:$G$1,0))</f>
        <v>3.8849999999999998</v>
      </c>
      <c r="O547" s="13">
        <f t="shared" si="40"/>
        <v>15.54</v>
      </c>
      <c r="P547" s="13">
        <f>_xlfn.XLOOKUP(Orders[[#This Row],[Product ID]],products!$A$1:$A$49,products!$G$1:$G$49,,0)</f>
        <v>0.50505</v>
      </c>
      <c r="Q547" s="13">
        <f t="shared" si="41"/>
        <v>2.0202</v>
      </c>
      <c r="R547" t="str">
        <f t="shared" si="43"/>
        <v>Liberica</v>
      </c>
      <c r="S547" t="str">
        <f t="shared" si="44"/>
        <v>Dark</v>
      </c>
      <c r="T547" t="str">
        <f>_xlfn.XLOOKUP(Orders[[#This Row],[Customer ID]],customers!$A$1:$A$1001,customers!$I$1:$I$1001,,0)</f>
        <v>No</v>
      </c>
    </row>
    <row r="548" spans="1:20" x14ac:dyDescent="0.35">
      <c r="A548" s="2" t="s">
        <v>3577</v>
      </c>
      <c r="B548" s="3">
        <v>44127</v>
      </c>
      <c r="C548" s="2" t="s">
        <v>3578</v>
      </c>
      <c r="D548" t="s">
        <v>6185</v>
      </c>
      <c r="E548" t="str">
        <f t="shared" si="42"/>
        <v>Excelsa-Dark-2.5</v>
      </c>
      <c r="F548" s="2">
        <v>3</v>
      </c>
      <c r="G548" s="2" t="str" cm="1">
        <f t="array" ref="G548">_xlfn.XLOOKUP(C548, customers!$A$1:A1547,customers!$B$1:B1547,,0)</f>
        <v>Dom Milella</v>
      </c>
      <c r="H548" s="2" t="str" cm="1">
        <f t="array" ref="H548">IF(_xlfn.XLOOKUP(C548,customers!$A$1:A1547,customers!$C$1:C1547,,0) = 0,"", _xlfn.XLOOKUP(C548,customers!$A$1:A1547,customers!$C$1:C1547,,0))</f>
        <v/>
      </c>
      <c r="I548" s="2" t="str">
        <f>_xlfn.XLOOKUP(C548,customers!$A$1:$A$1001,customers!$G$1:$G$1001,,0)</f>
        <v>Ireland</v>
      </c>
      <c r="J548" s="2" t="str">
        <f>_xlfn.XLOOKUP(Orders[[#This Row],[Customer ID]],customers!$A$1:$A$1001,customers!$F$1:$F$1001,,0)</f>
        <v>Manorhamilton</v>
      </c>
      <c r="K548" t="str">
        <f>INDEX(products!$A$1:$G$49,MATCH(orders!$D548,products!$A$1:$A$49,0),MATCH(orders!K$1,products!$A$1:$G$1,0))</f>
        <v>Exc</v>
      </c>
      <c r="L548" t="str">
        <f>INDEX(products!$A$1:$G$49,MATCH(orders!$D548,products!$A$1:$A$49,0),MATCH(orders!L$1,products!$A$1:$G$1,0))</f>
        <v>D</v>
      </c>
      <c r="M548" s="14">
        <f>INDEX(products!$A$1:$G$49,MATCH(orders!$D548,products!$A$1:$A$49,0),MATCH(orders!M$1,products!$A$1:$G$1,0))</f>
        <v>2.5</v>
      </c>
      <c r="N548" s="4">
        <f>INDEX(products!$A$1:$G$49,MATCH(orders!$D548,products!$A$1:$A$49,0),MATCH(orders!N$1,products!$A$1:$G$1,0))</f>
        <v>27.945</v>
      </c>
      <c r="O548" s="13">
        <f t="shared" si="40"/>
        <v>83.835000000000008</v>
      </c>
      <c r="P548" s="13">
        <f>_xlfn.XLOOKUP(Orders[[#This Row],[Product ID]],products!$A$1:$A$49,products!$G$1:$G$49,,0)</f>
        <v>3.07395</v>
      </c>
      <c r="Q548" s="13">
        <f t="shared" si="41"/>
        <v>9.2218499999999999</v>
      </c>
      <c r="R548" t="str">
        <f t="shared" si="43"/>
        <v>Execelsa</v>
      </c>
      <c r="S548" t="str">
        <f t="shared" si="44"/>
        <v>Dark</v>
      </c>
      <c r="T548" t="str">
        <f>_xlfn.XLOOKUP(Orders[[#This Row],[Customer ID]],customers!$A$1:$A$1001,customers!$I$1:$I$1001,,0)</f>
        <v>No</v>
      </c>
    </row>
    <row r="549" spans="1:20" x14ac:dyDescent="0.35">
      <c r="A549" s="2" t="s">
        <v>3582</v>
      </c>
      <c r="B549" s="3">
        <v>44265</v>
      </c>
      <c r="C549" s="2" t="s">
        <v>3594</v>
      </c>
      <c r="D549" t="s">
        <v>6178</v>
      </c>
      <c r="E549" t="str">
        <f t="shared" si="42"/>
        <v>Robusta-Light-0.2</v>
      </c>
      <c r="F549" s="2">
        <v>3</v>
      </c>
      <c r="G549" s="2" t="str" cm="1">
        <f t="array" ref="G549">_xlfn.XLOOKUP(C549, customers!$A$1:A1548,customers!$B$1:B1548,,0)</f>
        <v>Wilek Lightollers</v>
      </c>
      <c r="H549" s="2" t="str" cm="1">
        <f t="array" ref="H549">IF(_xlfn.XLOOKUP(C549,customers!$A$1:A1548,customers!$C$1:C1548,,0) = 0,"", _xlfn.XLOOKUP(C549,customers!$A$1:A1548,customers!$C$1:C1548,,0))</f>
        <v>wlightollersf9@baidu.com</v>
      </c>
      <c r="I549" s="2" t="str">
        <f>_xlfn.XLOOKUP(C549,customers!$A$1:$A$1001,customers!$G$1:$G$1001,,0)</f>
        <v>United States</v>
      </c>
      <c r="J549" s="2" t="str">
        <f>_xlfn.XLOOKUP(Orders[[#This Row],[Customer ID]],customers!$A$1:$A$1001,customers!$F$1:$F$1001,,0)</f>
        <v>New York City</v>
      </c>
      <c r="K549" t="str">
        <f>INDEX(products!$A$1:$G$49,MATCH(orders!$D549,products!$A$1:$A$49,0),MATCH(orders!K$1,products!$A$1:$G$1,0))</f>
        <v>Rob</v>
      </c>
      <c r="L549" t="str">
        <f>INDEX(products!$A$1:$G$49,MATCH(orders!$D549,products!$A$1:$A$49,0),MATCH(orders!L$1,products!$A$1:$G$1,0))</f>
        <v>L</v>
      </c>
      <c r="M549" s="14">
        <f>INDEX(products!$A$1:$G$49,MATCH(orders!$D549,products!$A$1:$A$49,0),MATCH(orders!M$1,products!$A$1:$G$1,0))</f>
        <v>0.2</v>
      </c>
      <c r="N549" s="4">
        <f>INDEX(products!$A$1:$G$49,MATCH(orders!$D549,products!$A$1:$A$49,0),MATCH(orders!N$1,products!$A$1:$G$1,0))</f>
        <v>3.5849999999999995</v>
      </c>
      <c r="O549" s="13">
        <f t="shared" si="40"/>
        <v>10.754999999999999</v>
      </c>
      <c r="P549" s="13">
        <f>_xlfn.XLOOKUP(Orders[[#This Row],[Product ID]],products!$A$1:$A$49,products!$G$1:$G$49,,0)</f>
        <v>0.21509999999999996</v>
      </c>
      <c r="Q549" s="13">
        <f t="shared" si="41"/>
        <v>0.64529999999999987</v>
      </c>
      <c r="R549" t="str">
        <f t="shared" si="43"/>
        <v>Robusta</v>
      </c>
      <c r="S549" t="str">
        <f t="shared" si="44"/>
        <v>Light</v>
      </c>
      <c r="T549" t="str">
        <f>_xlfn.XLOOKUP(Orders[[#This Row],[Customer ID]],customers!$A$1:$A$1001,customers!$I$1:$I$1001,,0)</f>
        <v>Yes</v>
      </c>
    </row>
    <row r="550" spans="1:20" x14ac:dyDescent="0.35">
      <c r="A550" s="2" t="s">
        <v>3587</v>
      </c>
      <c r="B550" s="3">
        <v>44384</v>
      </c>
      <c r="C550" s="2" t="s">
        <v>3588</v>
      </c>
      <c r="D550" t="s">
        <v>6184</v>
      </c>
      <c r="E550" t="str">
        <f t="shared" si="42"/>
        <v>Excelsa-Light-0.2</v>
      </c>
      <c r="F550" s="2">
        <v>3</v>
      </c>
      <c r="G550" s="2" t="str" cm="1">
        <f t="array" ref="G550">_xlfn.XLOOKUP(C550, customers!$A$1:A1549,customers!$B$1:B1549,,0)</f>
        <v>Bette-ann Munden</v>
      </c>
      <c r="H550" s="2" t="str" cm="1">
        <f t="array" ref="H550">IF(_xlfn.XLOOKUP(C550,customers!$A$1:A1549,customers!$C$1:C1549,,0) = 0,"", _xlfn.XLOOKUP(C550,customers!$A$1:A1549,customers!$C$1:C1549,,0))</f>
        <v>bmundenf8@elpais.com</v>
      </c>
      <c r="I550" s="2" t="str">
        <f>_xlfn.XLOOKUP(C550,customers!$A$1:$A$1001,customers!$G$1:$G$1001,,0)</f>
        <v>United States</v>
      </c>
      <c r="J550" s="2" t="str">
        <f>_xlfn.XLOOKUP(Orders[[#This Row],[Customer ID]],customers!$A$1:$A$1001,customers!$F$1:$F$1001,,0)</f>
        <v>Oklahoma City</v>
      </c>
      <c r="K550" t="str">
        <f>INDEX(products!$A$1:$G$49,MATCH(orders!$D550,products!$A$1:$A$49,0),MATCH(orders!K$1,products!$A$1:$G$1,0))</f>
        <v>Exc</v>
      </c>
      <c r="L550" t="str">
        <f>INDEX(products!$A$1:$G$49,MATCH(orders!$D550,products!$A$1:$A$49,0),MATCH(orders!L$1,products!$A$1:$G$1,0))</f>
        <v>L</v>
      </c>
      <c r="M550" s="14">
        <f>INDEX(products!$A$1:$G$49,MATCH(orders!$D550,products!$A$1:$A$49,0),MATCH(orders!M$1,products!$A$1:$G$1,0))</f>
        <v>0.2</v>
      </c>
      <c r="N550" s="4">
        <f>INDEX(products!$A$1:$G$49,MATCH(orders!$D550,products!$A$1:$A$49,0),MATCH(orders!N$1,products!$A$1:$G$1,0))</f>
        <v>4.4550000000000001</v>
      </c>
      <c r="O550" s="13">
        <f t="shared" si="40"/>
        <v>13.365</v>
      </c>
      <c r="P550" s="13">
        <f>_xlfn.XLOOKUP(Orders[[#This Row],[Product ID]],products!$A$1:$A$49,products!$G$1:$G$49,,0)</f>
        <v>0.49004999999999999</v>
      </c>
      <c r="Q550" s="13">
        <f t="shared" si="41"/>
        <v>1.4701499999999998</v>
      </c>
      <c r="R550" t="str">
        <f t="shared" si="43"/>
        <v>Execelsa</v>
      </c>
      <c r="S550" t="str">
        <f t="shared" si="44"/>
        <v>Light</v>
      </c>
      <c r="T550" t="str">
        <f>_xlfn.XLOOKUP(Orders[[#This Row],[Customer ID]],customers!$A$1:$A$1001,customers!$I$1:$I$1001,,0)</f>
        <v>Yes</v>
      </c>
    </row>
    <row r="551" spans="1:20" x14ac:dyDescent="0.35">
      <c r="A551" s="2" t="s">
        <v>3593</v>
      </c>
      <c r="B551" s="3">
        <v>44232</v>
      </c>
      <c r="C551" s="2" t="s">
        <v>3594</v>
      </c>
      <c r="D551" t="s">
        <v>6184</v>
      </c>
      <c r="E551" t="str">
        <f t="shared" si="42"/>
        <v>Excelsa-Light-0.2</v>
      </c>
      <c r="F551" s="2">
        <v>4</v>
      </c>
      <c r="G551" s="2" t="str" cm="1">
        <f t="array" ref="G551">_xlfn.XLOOKUP(C551, customers!$A$1:A1550,customers!$B$1:B1550,,0)</f>
        <v>Wilek Lightollers</v>
      </c>
      <c r="H551" s="2" t="str" cm="1">
        <f t="array" ref="H551">IF(_xlfn.XLOOKUP(C551,customers!$A$1:A1550,customers!$C$1:C1550,,0) = 0,"", _xlfn.XLOOKUP(C551,customers!$A$1:A1550,customers!$C$1:C1550,,0))</f>
        <v>wlightollersf9@baidu.com</v>
      </c>
      <c r="I551" s="2" t="str">
        <f>_xlfn.XLOOKUP(C551,customers!$A$1:$A$1001,customers!$G$1:$G$1001,,0)</f>
        <v>United States</v>
      </c>
      <c r="J551" s="2" t="str">
        <f>_xlfn.XLOOKUP(Orders[[#This Row],[Customer ID]],customers!$A$1:$A$1001,customers!$F$1:$F$1001,,0)</f>
        <v>New York City</v>
      </c>
      <c r="K551" t="str">
        <f>INDEX(products!$A$1:$G$49,MATCH(orders!$D551,products!$A$1:$A$49,0),MATCH(orders!K$1,products!$A$1:$G$1,0))</f>
        <v>Exc</v>
      </c>
      <c r="L551" t="str">
        <f>INDEX(products!$A$1:$G$49,MATCH(orders!$D551,products!$A$1:$A$49,0),MATCH(orders!L$1,products!$A$1:$G$1,0))</f>
        <v>L</v>
      </c>
      <c r="M551" s="14">
        <f>INDEX(products!$A$1:$G$49,MATCH(orders!$D551,products!$A$1:$A$49,0),MATCH(orders!M$1,products!$A$1:$G$1,0))</f>
        <v>0.2</v>
      </c>
      <c r="N551" s="4">
        <f>INDEX(products!$A$1:$G$49,MATCH(orders!$D551,products!$A$1:$A$49,0),MATCH(orders!N$1,products!$A$1:$G$1,0))</f>
        <v>4.4550000000000001</v>
      </c>
      <c r="O551" s="13">
        <f t="shared" si="40"/>
        <v>17.82</v>
      </c>
      <c r="P551" s="13">
        <f>_xlfn.XLOOKUP(Orders[[#This Row],[Product ID]],products!$A$1:$A$49,products!$G$1:$G$49,,0)</f>
        <v>0.49004999999999999</v>
      </c>
      <c r="Q551" s="13">
        <f t="shared" si="41"/>
        <v>1.9601999999999999</v>
      </c>
      <c r="R551" t="str">
        <f t="shared" si="43"/>
        <v>Execelsa</v>
      </c>
      <c r="S551" t="str">
        <f t="shared" si="44"/>
        <v>Light</v>
      </c>
      <c r="T551" t="str">
        <f>_xlfn.XLOOKUP(Orders[[#This Row],[Customer ID]],customers!$A$1:$A$1001,customers!$I$1:$I$1001,,0)</f>
        <v>Yes</v>
      </c>
    </row>
    <row r="552" spans="1:20" x14ac:dyDescent="0.35">
      <c r="A552" s="2" t="s">
        <v>3599</v>
      </c>
      <c r="B552" s="3">
        <v>44176</v>
      </c>
      <c r="C552" s="2" t="s">
        <v>3600</v>
      </c>
      <c r="D552" t="s">
        <v>6150</v>
      </c>
      <c r="E552" t="str">
        <f t="shared" si="42"/>
        <v>Liberica-Dark-0.2</v>
      </c>
      <c r="F552" s="2">
        <v>6</v>
      </c>
      <c r="G552" s="2" t="str" cm="1">
        <f t="array" ref="G552">_xlfn.XLOOKUP(C552, customers!$A$1:A1551,customers!$B$1:B1551,,0)</f>
        <v>Nick Brakespear</v>
      </c>
      <c r="H552" s="2" t="str" cm="1">
        <f t="array" ref="H552">IF(_xlfn.XLOOKUP(C552,customers!$A$1:A1551,customers!$C$1:C1551,,0) = 0,"", _xlfn.XLOOKUP(C552,customers!$A$1:A1551,customers!$C$1:C1551,,0))</f>
        <v>nbrakespearfa@rediff.com</v>
      </c>
      <c r="I552" s="2" t="str">
        <f>_xlfn.XLOOKUP(C552,customers!$A$1:$A$1001,customers!$G$1:$G$1001,,0)</f>
        <v>United States</v>
      </c>
      <c r="J552" s="2" t="str">
        <f>_xlfn.XLOOKUP(Orders[[#This Row],[Customer ID]],customers!$A$1:$A$1001,customers!$F$1:$F$1001,,0)</f>
        <v>Newark</v>
      </c>
      <c r="K552" t="str">
        <f>INDEX(products!$A$1:$G$49,MATCH(orders!$D552,products!$A$1:$A$49,0),MATCH(orders!K$1,products!$A$1:$G$1,0))</f>
        <v>Lib</v>
      </c>
      <c r="L552" t="str">
        <f>INDEX(products!$A$1:$G$49,MATCH(orders!$D552,products!$A$1:$A$49,0),MATCH(orders!L$1,products!$A$1:$G$1,0))</f>
        <v>D</v>
      </c>
      <c r="M552" s="14">
        <f>INDEX(products!$A$1:$G$49,MATCH(orders!$D552,products!$A$1:$A$49,0),MATCH(orders!M$1,products!$A$1:$G$1,0))</f>
        <v>0.2</v>
      </c>
      <c r="N552" s="4">
        <f>INDEX(products!$A$1:$G$49,MATCH(orders!$D552,products!$A$1:$A$49,0),MATCH(orders!N$1,products!$A$1:$G$1,0))</f>
        <v>3.8849999999999998</v>
      </c>
      <c r="O552" s="13">
        <f t="shared" si="40"/>
        <v>23.31</v>
      </c>
      <c r="P552" s="13">
        <f>_xlfn.XLOOKUP(Orders[[#This Row],[Product ID]],products!$A$1:$A$49,products!$G$1:$G$49,,0)</f>
        <v>0.50505</v>
      </c>
      <c r="Q552" s="13">
        <f t="shared" si="41"/>
        <v>3.0303</v>
      </c>
      <c r="R552" t="str">
        <f t="shared" si="43"/>
        <v>Liberica</v>
      </c>
      <c r="S552" t="str">
        <f t="shared" si="44"/>
        <v>Dark</v>
      </c>
      <c r="T552" t="str">
        <f>_xlfn.XLOOKUP(Orders[[#This Row],[Customer ID]],customers!$A$1:$A$1001,customers!$I$1:$I$1001,,0)</f>
        <v>Yes</v>
      </c>
    </row>
    <row r="553" spans="1:20" x14ac:dyDescent="0.35">
      <c r="A553" s="2" t="s">
        <v>3605</v>
      </c>
      <c r="B553" s="3">
        <v>44694</v>
      </c>
      <c r="C553" s="2" t="s">
        <v>3606</v>
      </c>
      <c r="D553" t="s">
        <v>6153</v>
      </c>
      <c r="E553" t="str">
        <f t="shared" si="42"/>
        <v>Excelsa-Dark-0.2</v>
      </c>
      <c r="F553" s="2">
        <v>2</v>
      </c>
      <c r="G553" s="2" t="str" cm="1">
        <f t="array" ref="G553">_xlfn.XLOOKUP(C553, customers!$A$1:A1552,customers!$B$1:B1552,,0)</f>
        <v>Malynda Glawsop</v>
      </c>
      <c r="H553" s="2" t="str" cm="1">
        <f t="array" ref="H553">IF(_xlfn.XLOOKUP(C553,customers!$A$1:A1552,customers!$C$1:C1552,,0) = 0,"", _xlfn.XLOOKUP(C553,customers!$A$1:A1552,customers!$C$1:C1552,,0))</f>
        <v>mglawsopfb@reverbnation.com</v>
      </c>
      <c r="I553" s="2" t="str">
        <f>_xlfn.XLOOKUP(C553,customers!$A$1:$A$1001,customers!$G$1:$G$1001,,0)</f>
        <v>United States</v>
      </c>
      <c r="J553" s="2" t="str">
        <f>_xlfn.XLOOKUP(Orders[[#This Row],[Customer ID]],customers!$A$1:$A$1001,customers!$F$1:$F$1001,,0)</f>
        <v>New Haven</v>
      </c>
      <c r="K553" t="str">
        <f>INDEX(products!$A$1:$G$49,MATCH(orders!$D553,products!$A$1:$A$49,0),MATCH(orders!K$1,products!$A$1:$G$1,0))</f>
        <v>Exc</v>
      </c>
      <c r="L553" t="str">
        <f>INDEX(products!$A$1:$G$49,MATCH(orders!$D553,products!$A$1:$A$49,0),MATCH(orders!L$1,products!$A$1:$G$1,0))</f>
        <v>D</v>
      </c>
      <c r="M553" s="14">
        <f>INDEX(products!$A$1:$G$49,MATCH(orders!$D553,products!$A$1:$A$49,0),MATCH(orders!M$1,products!$A$1:$G$1,0))</f>
        <v>0.2</v>
      </c>
      <c r="N553" s="4">
        <f>INDEX(products!$A$1:$G$49,MATCH(orders!$D553,products!$A$1:$A$49,0),MATCH(orders!N$1,products!$A$1:$G$1,0))</f>
        <v>3.645</v>
      </c>
      <c r="O553" s="13">
        <f t="shared" si="40"/>
        <v>7.29</v>
      </c>
      <c r="P553" s="13">
        <f>_xlfn.XLOOKUP(Orders[[#This Row],[Product ID]],products!$A$1:$A$49,products!$G$1:$G$49,,0)</f>
        <v>0.40095000000000003</v>
      </c>
      <c r="Q553" s="13">
        <f t="shared" si="41"/>
        <v>0.80190000000000006</v>
      </c>
      <c r="R553" t="str">
        <f t="shared" si="43"/>
        <v>Execelsa</v>
      </c>
      <c r="S553" t="str">
        <f t="shared" si="44"/>
        <v>Dark</v>
      </c>
      <c r="T553" t="str">
        <f>_xlfn.XLOOKUP(Orders[[#This Row],[Customer ID]],customers!$A$1:$A$1001,customers!$I$1:$I$1001,,0)</f>
        <v>No</v>
      </c>
    </row>
    <row r="554" spans="1:20" x14ac:dyDescent="0.35">
      <c r="A554" s="2" t="s">
        <v>3611</v>
      </c>
      <c r="B554" s="3">
        <v>43761</v>
      </c>
      <c r="C554" s="2" t="s">
        <v>3612</v>
      </c>
      <c r="D554" t="s">
        <v>6184</v>
      </c>
      <c r="E554" t="str">
        <f t="shared" si="42"/>
        <v>Excelsa-Light-0.2</v>
      </c>
      <c r="F554" s="2">
        <v>4</v>
      </c>
      <c r="G554" s="2" t="str" cm="1">
        <f t="array" ref="G554">_xlfn.XLOOKUP(C554, customers!$A$1:A1553,customers!$B$1:B1553,,0)</f>
        <v>Granville Alberts</v>
      </c>
      <c r="H554" s="2" t="str" cm="1">
        <f t="array" ref="H554">IF(_xlfn.XLOOKUP(C554,customers!$A$1:A1553,customers!$C$1:C1553,,0) = 0,"", _xlfn.XLOOKUP(C554,customers!$A$1:A1553,customers!$C$1:C1553,,0))</f>
        <v>galbertsfc@etsy.com</v>
      </c>
      <c r="I554" s="2" t="str">
        <f>_xlfn.XLOOKUP(C554,customers!$A$1:$A$1001,customers!$G$1:$G$1001,,0)</f>
        <v>United Kingdom</v>
      </c>
      <c r="J554" s="2" t="str">
        <f>_xlfn.XLOOKUP(Orders[[#This Row],[Customer ID]],customers!$A$1:$A$1001,customers!$F$1:$F$1001,,0)</f>
        <v>Belfast</v>
      </c>
      <c r="K554" t="str">
        <f>INDEX(products!$A$1:$G$49,MATCH(orders!$D554,products!$A$1:$A$49,0),MATCH(orders!K$1,products!$A$1:$G$1,0))</f>
        <v>Exc</v>
      </c>
      <c r="L554" t="str">
        <f>INDEX(products!$A$1:$G$49,MATCH(orders!$D554,products!$A$1:$A$49,0),MATCH(orders!L$1,products!$A$1:$G$1,0))</f>
        <v>L</v>
      </c>
      <c r="M554" s="14">
        <f>INDEX(products!$A$1:$G$49,MATCH(orders!$D554,products!$A$1:$A$49,0),MATCH(orders!M$1,products!$A$1:$G$1,0))</f>
        <v>0.2</v>
      </c>
      <c r="N554" s="4">
        <f>INDEX(products!$A$1:$G$49,MATCH(orders!$D554,products!$A$1:$A$49,0),MATCH(orders!N$1,products!$A$1:$G$1,0))</f>
        <v>4.4550000000000001</v>
      </c>
      <c r="O554" s="13">
        <f t="shared" si="40"/>
        <v>17.82</v>
      </c>
      <c r="P554" s="13">
        <f>_xlfn.XLOOKUP(Orders[[#This Row],[Product ID]],products!$A$1:$A$49,products!$G$1:$G$49,,0)</f>
        <v>0.49004999999999999</v>
      </c>
      <c r="Q554" s="13">
        <f t="shared" si="41"/>
        <v>1.9601999999999999</v>
      </c>
      <c r="R554" t="str">
        <f t="shared" si="43"/>
        <v>Execelsa</v>
      </c>
      <c r="S554" t="str">
        <f t="shared" si="44"/>
        <v>Light</v>
      </c>
      <c r="T554" t="str">
        <f>_xlfn.XLOOKUP(Orders[[#This Row],[Customer ID]],customers!$A$1:$A$1001,customers!$I$1:$I$1001,,0)</f>
        <v>Yes</v>
      </c>
    </row>
    <row r="555" spans="1:20" x14ac:dyDescent="0.35">
      <c r="A555" s="2" t="s">
        <v>3617</v>
      </c>
      <c r="B555" s="3">
        <v>44085</v>
      </c>
      <c r="C555" s="2" t="s">
        <v>3618</v>
      </c>
      <c r="D555" t="s">
        <v>6141</v>
      </c>
      <c r="E555" t="str">
        <f t="shared" si="42"/>
        <v>Excelsa-Medium-1</v>
      </c>
      <c r="F555" s="2">
        <v>5</v>
      </c>
      <c r="G555" s="2" t="str" cm="1">
        <f t="array" ref="G555">_xlfn.XLOOKUP(C555, customers!$A$1:A1554,customers!$B$1:B1554,,0)</f>
        <v>Vasily Polglase</v>
      </c>
      <c r="H555" s="2" t="str" cm="1">
        <f t="array" ref="H555">IF(_xlfn.XLOOKUP(C555,customers!$A$1:A1554,customers!$C$1:C1554,,0) = 0,"", _xlfn.XLOOKUP(C555,customers!$A$1:A1554,customers!$C$1:C1554,,0))</f>
        <v>vpolglasefd@about.me</v>
      </c>
      <c r="I555" s="2" t="str">
        <f>_xlfn.XLOOKUP(C555,customers!$A$1:$A$1001,customers!$G$1:$G$1001,,0)</f>
        <v>United States</v>
      </c>
      <c r="J555" s="2" t="str">
        <f>_xlfn.XLOOKUP(Orders[[#This Row],[Customer ID]],customers!$A$1:$A$1001,customers!$F$1:$F$1001,,0)</f>
        <v>Toledo</v>
      </c>
      <c r="K555" t="str">
        <f>INDEX(products!$A$1:$G$49,MATCH(orders!$D555,products!$A$1:$A$49,0),MATCH(orders!K$1,products!$A$1:$G$1,0))</f>
        <v>Exc</v>
      </c>
      <c r="L555" t="str">
        <f>INDEX(products!$A$1:$G$49,MATCH(orders!$D555,products!$A$1:$A$49,0),MATCH(orders!L$1,products!$A$1:$G$1,0))</f>
        <v>M</v>
      </c>
      <c r="M555" s="14">
        <f>INDEX(products!$A$1:$G$49,MATCH(orders!$D555,products!$A$1:$A$49,0),MATCH(orders!M$1,products!$A$1:$G$1,0))</f>
        <v>1</v>
      </c>
      <c r="N555" s="4">
        <f>INDEX(products!$A$1:$G$49,MATCH(orders!$D555,products!$A$1:$A$49,0),MATCH(orders!N$1,products!$A$1:$G$1,0))</f>
        <v>13.75</v>
      </c>
      <c r="O555" s="13">
        <f t="shared" si="40"/>
        <v>68.75</v>
      </c>
      <c r="P555" s="13">
        <f>_xlfn.XLOOKUP(Orders[[#This Row],[Product ID]],products!$A$1:$A$49,products!$G$1:$G$49,,0)</f>
        <v>1.5125</v>
      </c>
      <c r="Q555" s="13">
        <f t="shared" si="41"/>
        <v>7.5625</v>
      </c>
      <c r="R555" t="str">
        <f t="shared" si="43"/>
        <v>Execelsa</v>
      </c>
      <c r="S555" t="str">
        <f t="shared" si="44"/>
        <v>Medium</v>
      </c>
      <c r="T555" t="str">
        <f>_xlfn.XLOOKUP(Orders[[#This Row],[Customer ID]],customers!$A$1:$A$1001,customers!$I$1:$I$1001,,0)</f>
        <v>No</v>
      </c>
    </row>
    <row r="556" spans="1:20" x14ac:dyDescent="0.35">
      <c r="A556" s="2" t="s">
        <v>3622</v>
      </c>
      <c r="B556" s="3">
        <v>43737</v>
      </c>
      <c r="C556" s="2" t="s">
        <v>3623</v>
      </c>
      <c r="D556" t="s">
        <v>6142</v>
      </c>
      <c r="E556" t="str">
        <f t="shared" si="42"/>
        <v>Robusta-Light-2.5</v>
      </c>
      <c r="F556" s="2">
        <v>2</v>
      </c>
      <c r="G556" s="2" t="str" cm="1">
        <f t="array" ref="G556">_xlfn.XLOOKUP(C556, customers!$A$1:A1555,customers!$B$1:B1555,,0)</f>
        <v>Madelaine Sharples</v>
      </c>
      <c r="H556" s="2" t="str" cm="1">
        <f t="array" ref="H556">IF(_xlfn.XLOOKUP(C556,customers!$A$1:A1555,customers!$C$1:C1555,,0) = 0,"", _xlfn.XLOOKUP(C556,customers!$A$1:A1555,customers!$C$1:C1555,,0))</f>
        <v/>
      </c>
      <c r="I556" s="2" t="str">
        <f>_xlfn.XLOOKUP(C556,customers!$A$1:$A$1001,customers!$G$1:$G$1001,,0)</f>
        <v>United Kingdom</v>
      </c>
      <c r="J556" s="2" t="str">
        <f>_xlfn.XLOOKUP(Orders[[#This Row],[Customer ID]],customers!$A$1:$A$1001,customers!$F$1:$F$1001,,0)</f>
        <v>Newton</v>
      </c>
      <c r="K556" t="str">
        <f>INDEX(products!$A$1:$G$49,MATCH(orders!$D556,products!$A$1:$A$49,0),MATCH(orders!K$1,products!$A$1:$G$1,0))</f>
        <v>Rob</v>
      </c>
      <c r="L556" t="str">
        <f>INDEX(products!$A$1:$G$49,MATCH(orders!$D556,products!$A$1:$A$49,0),MATCH(orders!L$1,products!$A$1:$G$1,0))</f>
        <v>L</v>
      </c>
      <c r="M556" s="14">
        <f>INDEX(products!$A$1:$G$49,MATCH(orders!$D556,products!$A$1:$A$49,0),MATCH(orders!M$1,products!$A$1:$G$1,0))</f>
        <v>2.5</v>
      </c>
      <c r="N556" s="4">
        <f>INDEX(products!$A$1:$G$49,MATCH(orders!$D556,products!$A$1:$A$49,0),MATCH(orders!N$1,products!$A$1:$G$1,0))</f>
        <v>27.484999999999996</v>
      </c>
      <c r="O556" s="13">
        <f t="shared" si="40"/>
        <v>54.969999999999992</v>
      </c>
      <c r="P556" s="13">
        <f>_xlfn.XLOOKUP(Orders[[#This Row],[Product ID]],products!$A$1:$A$49,products!$G$1:$G$49,,0)</f>
        <v>1.6490999999999998</v>
      </c>
      <c r="Q556" s="13">
        <f t="shared" si="41"/>
        <v>3.2981999999999996</v>
      </c>
      <c r="R556" t="str">
        <f t="shared" si="43"/>
        <v>Robusta</v>
      </c>
      <c r="S556" t="str">
        <f t="shared" si="44"/>
        <v>Light</v>
      </c>
      <c r="T556" t="str">
        <f>_xlfn.XLOOKUP(Orders[[#This Row],[Customer ID]],customers!$A$1:$A$1001,customers!$I$1:$I$1001,,0)</f>
        <v>Yes</v>
      </c>
    </row>
    <row r="557" spans="1:20" x14ac:dyDescent="0.35">
      <c r="A557" s="2" t="s">
        <v>3627</v>
      </c>
      <c r="B557" s="3">
        <v>44258</v>
      </c>
      <c r="C557" s="2" t="s">
        <v>3628</v>
      </c>
      <c r="D557" t="s">
        <v>6141</v>
      </c>
      <c r="E557" t="str">
        <f t="shared" si="42"/>
        <v>Excelsa-Medium-1</v>
      </c>
      <c r="F557" s="2">
        <v>6</v>
      </c>
      <c r="G557" s="2" t="str" cm="1">
        <f t="array" ref="G557">_xlfn.XLOOKUP(C557, customers!$A$1:A1556,customers!$B$1:B1556,,0)</f>
        <v>Sigfrid Busch</v>
      </c>
      <c r="H557" s="2" t="str" cm="1">
        <f t="array" ref="H557">IF(_xlfn.XLOOKUP(C557,customers!$A$1:A1556,customers!$C$1:C1556,,0) = 0,"", _xlfn.XLOOKUP(C557,customers!$A$1:A1556,customers!$C$1:C1556,,0))</f>
        <v>sbuschff@so-net.ne.jp</v>
      </c>
      <c r="I557" s="2" t="str">
        <f>_xlfn.XLOOKUP(C557,customers!$A$1:$A$1001,customers!$G$1:$G$1001,,0)</f>
        <v>Ireland</v>
      </c>
      <c r="J557" s="2" t="str">
        <f>_xlfn.XLOOKUP(Orders[[#This Row],[Customer ID]],customers!$A$1:$A$1001,customers!$F$1:$F$1001,,0)</f>
        <v>Bantry</v>
      </c>
      <c r="K557" t="str">
        <f>INDEX(products!$A$1:$G$49,MATCH(orders!$D557,products!$A$1:$A$49,0),MATCH(orders!K$1,products!$A$1:$G$1,0))</f>
        <v>Exc</v>
      </c>
      <c r="L557" t="str">
        <f>INDEX(products!$A$1:$G$49,MATCH(orders!$D557,products!$A$1:$A$49,0),MATCH(orders!L$1,products!$A$1:$G$1,0))</f>
        <v>M</v>
      </c>
      <c r="M557" s="14">
        <f>INDEX(products!$A$1:$G$49,MATCH(orders!$D557,products!$A$1:$A$49,0),MATCH(orders!M$1,products!$A$1:$G$1,0))</f>
        <v>1</v>
      </c>
      <c r="N557" s="4">
        <f>INDEX(products!$A$1:$G$49,MATCH(orders!$D557,products!$A$1:$A$49,0),MATCH(orders!N$1,products!$A$1:$G$1,0))</f>
        <v>13.75</v>
      </c>
      <c r="O557" s="13">
        <f t="shared" si="40"/>
        <v>82.5</v>
      </c>
      <c r="P557" s="13">
        <f>_xlfn.XLOOKUP(Orders[[#This Row],[Product ID]],products!$A$1:$A$49,products!$G$1:$G$49,,0)</f>
        <v>1.5125</v>
      </c>
      <c r="Q557" s="13">
        <f t="shared" si="41"/>
        <v>9.0749999999999993</v>
      </c>
      <c r="R557" t="str">
        <f t="shared" si="43"/>
        <v>Execelsa</v>
      </c>
      <c r="S557" t="str">
        <f t="shared" si="44"/>
        <v>Medium</v>
      </c>
      <c r="T557" t="str">
        <f>_xlfn.XLOOKUP(Orders[[#This Row],[Customer ID]],customers!$A$1:$A$1001,customers!$I$1:$I$1001,,0)</f>
        <v>No</v>
      </c>
    </row>
    <row r="558" spans="1:20" x14ac:dyDescent="0.35">
      <c r="A558" s="2" t="s">
        <v>3633</v>
      </c>
      <c r="B558" s="3">
        <v>44523</v>
      </c>
      <c r="C558" s="2" t="s">
        <v>3634</v>
      </c>
      <c r="D558" t="s">
        <v>6159</v>
      </c>
      <c r="E558" t="str">
        <f t="shared" si="42"/>
        <v>Liberica-Medium-0.2</v>
      </c>
      <c r="F558" s="2">
        <v>2</v>
      </c>
      <c r="G558" s="2" t="str" cm="1">
        <f t="array" ref="G558">_xlfn.XLOOKUP(C558, customers!$A$1:A1557,customers!$B$1:B1557,,0)</f>
        <v>Cissiee Raisbeck</v>
      </c>
      <c r="H558" s="2" t="str" cm="1">
        <f t="array" ref="H558">IF(_xlfn.XLOOKUP(C558,customers!$A$1:A1557,customers!$C$1:C1557,,0) = 0,"", _xlfn.XLOOKUP(C558,customers!$A$1:A1557,customers!$C$1:C1557,,0))</f>
        <v>craisbeckfg@webnode.com</v>
      </c>
      <c r="I558" s="2" t="str">
        <f>_xlfn.XLOOKUP(C558,customers!$A$1:$A$1001,customers!$G$1:$G$1001,,0)</f>
        <v>United States</v>
      </c>
      <c r="J558" s="2" t="str">
        <f>_xlfn.XLOOKUP(Orders[[#This Row],[Customer ID]],customers!$A$1:$A$1001,customers!$F$1:$F$1001,,0)</f>
        <v>Shreveport</v>
      </c>
      <c r="K558" t="str">
        <f>INDEX(products!$A$1:$G$49,MATCH(orders!$D558,products!$A$1:$A$49,0),MATCH(orders!K$1,products!$A$1:$G$1,0))</f>
        <v>Lib</v>
      </c>
      <c r="L558" t="str">
        <f>INDEX(products!$A$1:$G$49,MATCH(orders!$D558,products!$A$1:$A$49,0),MATCH(orders!L$1,products!$A$1:$G$1,0))</f>
        <v>M</v>
      </c>
      <c r="M558" s="14">
        <f>INDEX(products!$A$1:$G$49,MATCH(orders!$D558,products!$A$1:$A$49,0),MATCH(orders!M$1,products!$A$1:$G$1,0))</f>
        <v>0.2</v>
      </c>
      <c r="N558" s="4">
        <f>INDEX(products!$A$1:$G$49,MATCH(orders!$D558,products!$A$1:$A$49,0),MATCH(orders!N$1,products!$A$1:$G$1,0))</f>
        <v>4.3650000000000002</v>
      </c>
      <c r="O558" s="13">
        <f t="shared" si="40"/>
        <v>8.73</v>
      </c>
      <c r="P558" s="13">
        <f>_xlfn.XLOOKUP(Orders[[#This Row],[Product ID]],products!$A$1:$A$49,products!$G$1:$G$49,,0)</f>
        <v>0.56745000000000001</v>
      </c>
      <c r="Q558" s="13">
        <f t="shared" si="41"/>
        <v>1.1349</v>
      </c>
      <c r="R558" t="str">
        <f t="shared" si="43"/>
        <v>Liberica</v>
      </c>
      <c r="S558" t="str">
        <f t="shared" si="44"/>
        <v>Medium</v>
      </c>
      <c r="T558" t="str">
        <f>_xlfn.XLOOKUP(Orders[[#This Row],[Customer ID]],customers!$A$1:$A$1001,customers!$I$1:$I$1001,,0)</f>
        <v>Yes</v>
      </c>
    </row>
    <row r="559" spans="1:20" x14ac:dyDescent="0.35">
      <c r="A559" s="2" t="s">
        <v>3638</v>
      </c>
      <c r="B559" s="3">
        <v>44506</v>
      </c>
      <c r="C559" s="2" t="s">
        <v>3368</v>
      </c>
      <c r="D559" t="s">
        <v>6171</v>
      </c>
      <c r="E559" t="str">
        <f t="shared" si="42"/>
        <v>Excelsa-Light-1</v>
      </c>
      <c r="F559" s="2">
        <v>4</v>
      </c>
      <c r="G559" s="2" t="str" cm="1">
        <f t="array" ref="G559">_xlfn.XLOOKUP(C559, customers!$A$1:A1558,customers!$B$1:B1558,,0)</f>
        <v>Marja Urion</v>
      </c>
      <c r="H559" s="2" t="str" cm="1">
        <f t="array" ref="H559">IF(_xlfn.XLOOKUP(C559,customers!$A$1:A1558,customers!$C$1:C1558,,0) = 0,"", _xlfn.XLOOKUP(C559,customers!$A$1:A1558,customers!$C$1:C1558,,0))</f>
        <v>murione5@alexa.com</v>
      </c>
      <c r="I559" s="2" t="str">
        <f>_xlfn.XLOOKUP(C559,customers!$A$1:$A$1001,customers!$G$1:$G$1001,,0)</f>
        <v>Ireland</v>
      </c>
      <c r="J559" s="2" t="str">
        <f>_xlfn.XLOOKUP(Orders[[#This Row],[Customer ID]],customers!$A$1:$A$1001,customers!$F$1:$F$1001,,0)</f>
        <v>Virginia</v>
      </c>
      <c r="K559" t="str">
        <f>INDEX(products!$A$1:$G$49,MATCH(orders!$D559,products!$A$1:$A$49,0),MATCH(orders!K$1,products!$A$1:$G$1,0))</f>
        <v>Exc</v>
      </c>
      <c r="L559" t="str">
        <f>INDEX(products!$A$1:$G$49,MATCH(orders!$D559,products!$A$1:$A$49,0),MATCH(orders!L$1,products!$A$1:$G$1,0))</f>
        <v>L</v>
      </c>
      <c r="M559" s="14">
        <f>INDEX(products!$A$1:$G$49,MATCH(orders!$D559,products!$A$1:$A$49,0),MATCH(orders!M$1,products!$A$1:$G$1,0))</f>
        <v>1</v>
      </c>
      <c r="N559" s="4">
        <f>INDEX(products!$A$1:$G$49,MATCH(orders!$D559,products!$A$1:$A$49,0),MATCH(orders!N$1,products!$A$1:$G$1,0))</f>
        <v>14.85</v>
      </c>
      <c r="O559" s="13">
        <f t="shared" si="40"/>
        <v>59.4</v>
      </c>
      <c r="P559" s="13">
        <f>_xlfn.XLOOKUP(Orders[[#This Row],[Product ID]],products!$A$1:$A$49,products!$G$1:$G$49,,0)</f>
        <v>1.6335</v>
      </c>
      <c r="Q559" s="13">
        <f t="shared" si="41"/>
        <v>6.5339999999999998</v>
      </c>
      <c r="R559" t="str">
        <f t="shared" si="43"/>
        <v>Execelsa</v>
      </c>
      <c r="S559" t="str">
        <f t="shared" si="44"/>
        <v>Light</v>
      </c>
      <c r="T559" t="str">
        <f>_xlfn.XLOOKUP(Orders[[#This Row],[Customer ID]],customers!$A$1:$A$1001,customers!$I$1:$I$1001,,0)</f>
        <v>Yes</v>
      </c>
    </row>
    <row r="560" spans="1:20" x14ac:dyDescent="0.35">
      <c r="A560" s="2" t="s">
        <v>3643</v>
      </c>
      <c r="B560" s="3">
        <v>44225</v>
      </c>
      <c r="C560" s="2" t="s">
        <v>3644</v>
      </c>
      <c r="D560" t="s">
        <v>6150</v>
      </c>
      <c r="E560" t="str">
        <f t="shared" si="42"/>
        <v>Liberica-Dark-0.2</v>
      </c>
      <c r="F560" s="2">
        <v>4</v>
      </c>
      <c r="G560" s="2" t="str" cm="1">
        <f t="array" ref="G560">_xlfn.XLOOKUP(C560, customers!$A$1:A1559,customers!$B$1:B1559,,0)</f>
        <v>Kenton Wetherick</v>
      </c>
      <c r="H560" s="2" t="str" cm="1">
        <f t="array" ref="H560">IF(_xlfn.XLOOKUP(C560,customers!$A$1:A1559,customers!$C$1:C1559,,0) = 0,"", _xlfn.XLOOKUP(C560,customers!$A$1:A1559,customers!$C$1:C1559,,0))</f>
        <v/>
      </c>
      <c r="I560" s="2" t="str">
        <f>_xlfn.XLOOKUP(C560,customers!$A$1:$A$1001,customers!$G$1:$G$1001,,0)</f>
        <v>United States</v>
      </c>
      <c r="J560" s="2" t="str">
        <f>_xlfn.XLOOKUP(Orders[[#This Row],[Customer ID]],customers!$A$1:$A$1001,customers!$F$1:$F$1001,,0)</f>
        <v>Lexington</v>
      </c>
      <c r="K560" t="str">
        <f>INDEX(products!$A$1:$G$49,MATCH(orders!$D560,products!$A$1:$A$49,0),MATCH(orders!K$1,products!$A$1:$G$1,0))</f>
        <v>Lib</v>
      </c>
      <c r="L560" t="str">
        <f>INDEX(products!$A$1:$G$49,MATCH(orders!$D560,products!$A$1:$A$49,0),MATCH(orders!L$1,products!$A$1:$G$1,0))</f>
        <v>D</v>
      </c>
      <c r="M560" s="14">
        <f>INDEX(products!$A$1:$G$49,MATCH(orders!$D560,products!$A$1:$A$49,0),MATCH(orders!M$1,products!$A$1:$G$1,0))</f>
        <v>0.2</v>
      </c>
      <c r="N560" s="4">
        <f>INDEX(products!$A$1:$G$49,MATCH(orders!$D560,products!$A$1:$A$49,0),MATCH(orders!N$1,products!$A$1:$G$1,0))</f>
        <v>3.8849999999999998</v>
      </c>
      <c r="O560" s="13">
        <f t="shared" si="40"/>
        <v>15.54</v>
      </c>
      <c r="P560" s="13">
        <f>_xlfn.XLOOKUP(Orders[[#This Row],[Product ID]],products!$A$1:$A$49,products!$G$1:$G$49,,0)</f>
        <v>0.50505</v>
      </c>
      <c r="Q560" s="13">
        <f t="shared" si="41"/>
        <v>2.0202</v>
      </c>
      <c r="R560" t="str">
        <f t="shared" si="43"/>
        <v>Liberica</v>
      </c>
      <c r="S560" t="str">
        <f t="shared" si="44"/>
        <v>Dark</v>
      </c>
      <c r="T560" t="str">
        <f>_xlfn.XLOOKUP(Orders[[#This Row],[Customer ID]],customers!$A$1:$A$1001,customers!$I$1:$I$1001,,0)</f>
        <v>Yes</v>
      </c>
    </row>
    <row r="561" spans="1:20" x14ac:dyDescent="0.35">
      <c r="A561" s="2" t="s">
        <v>3648</v>
      </c>
      <c r="B561" s="3">
        <v>44667</v>
      </c>
      <c r="C561" s="2" t="s">
        <v>3649</v>
      </c>
      <c r="D561" t="s">
        <v>6140</v>
      </c>
      <c r="E561" t="str">
        <f t="shared" si="42"/>
        <v>Arabica-Light-1</v>
      </c>
      <c r="F561" s="2">
        <v>3</v>
      </c>
      <c r="G561" s="2" t="str" cm="1">
        <f t="array" ref="G561">_xlfn.XLOOKUP(C561, customers!$A$1:A1560,customers!$B$1:B1560,,0)</f>
        <v>Reamonn Aynold</v>
      </c>
      <c r="H561" s="2" t="str" cm="1">
        <f t="array" ref="H561">IF(_xlfn.XLOOKUP(C561,customers!$A$1:A1560,customers!$C$1:C1560,,0) = 0,"", _xlfn.XLOOKUP(C561,customers!$A$1:A1560,customers!$C$1:C1560,,0))</f>
        <v>raynoldfj@ustream.tv</v>
      </c>
      <c r="I561" s="2" t="str">
        <f>_xlfn.XLOOKUP(C561,customers!$A$1:$A$1001,customers!$G$1:$G$1001,,0)</f>
        <v>United States</v>
      </c>
      <c r="J561" s="2" t="str">
        <f>_xlfn.XLOOKUP(Orders[[#This Row],[Customer ID]],customers!$A$1:$A$1001,customers!$F$1:$F$1001,,0)</f>
        <v>Milwaukee</v>
      </c>
      <c r="K561" t="str">
        <f>INDEX(products!$A$1:$G$49,MATCH(orders!$D561,products!$A$1:$A$49,0),MATCH(orders!K$1,products!$A$1:$G$1,0))</f>
        <v>Ara</v>
      </c>
      <c r="L561" t="str">
        <f>INDEX(products!$A$1:$G$49,MATCH(orders!$D561,products!$A$1:$A$49,0),MATCH(orders!L$1,products!$A$1:$G$1,0))</f>
        <v>L</v>
      </c>
      <c r="M561" s="14">
        <f>INDEX(products!$A$1:$G$49,MATCH(orders!$D561,products!$A$1:$A$49,0),MATCH(orders!M$1,products!$A$1:$G$1,0))</f>
        <v>1</v>
      </c>
      <c r="N561" s="4">
        <f>INDEX(products!$A$1:$G$49,MATCH(orders!$D561,products!$A$1:$A$49,0),MATCH(orders!N$1,products!$A$1:$G$1,0))</f>
        <v>12.95</v>
      </c>
      <c r="O561" s="13">
        <f t="shared" si="40"/>
        <v>38.849999999999994</v>
      </c>
      <c r="P561" s="13">
        <f>_xlfn.XLOOKUP(Orders[[#This Row],[Product ID]],products!$A$1:$A$49,products!$G$1:$G$49,,0)</f>
        <v>1.1655</v>
      </c>
      <c r="Q561" s="13">
        <f t="shared" si="41"/>
        <v>3.4965000000000002</v>
      </c>
      <c r="R561" t="str">
        <f t="shared" si="43"/>
        <v>Arabica</v>
      </c>
      <c r="S561" t="str">
        <f t="shared" si="44"/>
        <v>Light</v>
      </c>
      <c r="T561" t="str">
        <f>_xlfn.XLOOKUP(Orders[[#This Row],[Customer ID]],customers!$A$1:$A$1001,customers!$I$1:$I$1001,,0)</f>
        <v>Yes</v>
      </c>
    </row>
    <row r="562" spans="1:20" x14ac:dyDescent="0.35">
      <c r="A562" s="2" t="s">
        <v>3654</v>
      </c>
      <c r="B562" s="3">
        <v>44401</v>
      </c>
      <c r="C562" s="2" t="s">
        <v>3655</v>
      </c>
      <c r="D562" t="s">
        <v>6166</v>
      </c>
      <c r="E562" t="str">
        <f t="shared" si="42"/>
        <v>Excelsa-Medium-2.5</v>
      </c>
      <c r="F562" s="2">
        <v>6</v>
      </c>
      <c r="G562" s="2" t="str" cm="1">
        <f t="array" ref="G562">_xlfn.XLOOKUP(C562, customers!$A$1:A1561,customers!$B$1:B1561,,0)</f>
        <v>Hatty Dovydenas</v>
      </c>
      <c r="H562" s="2" t="str" cm="1">
        <f t="array" ref="H562">IF(_xlfn.XLOOKUP(C562,customers!$A$1:A1561,customers!$C$1:C1561,,0) = 0,"", _xlfn.XLOOKUP(C562,customers!$A$1:A1561,customers!$C$1:C1561,,0))</f>
        <v/>
      </c>
      <c r="I562" s="2" t="str">
        <f>_xlfn.XLOOKUP(C562,customers!$A$1:$A$1001,customers!$G$1:$G$1001,,0)</f>
        <v>United States</v>
      </c>
      <c r="J562" s="2" t="str">
        <f>_xlfn.XLOOKUP(Orders[[#This Row],[Customer ID]],customers!$A$1:$A$1001,customers!$F$1:$F$1001,,0)</f>
        <v>Amarillo</v>
      </c>
      <c r="K562" t="str">
        <f>INDEX(products!$A$1:$G$49,MATCH(orders!$D562,products!$A$1:$A$49,0),MATCH(orders!K$1,products!$A$1:$G$1,0))</f>
        <v>Exc</v>
      </c>
      <c r="L562" t="str">
        <f>INDEX(products!$A$1:$G$49,MATCH(orders!$D562,products!$A$1:$A$49,0),MATCH(orders!L$1,products!$A$1:$G$1,0))</f>
        <v>M</v>
      </c>
      <c r="M562" s="14">
        <f>INDEX(products!$A$1:$G$49,MATCH(orders!$D562,products!$A$1:$A$49,0),MATCH(orders!M$1,products!$A$1:$G$1,0))</f>
        <v>2.5</v>
      </c>
      <c r="N562" s="4">
        <f>INDEX(products!$A$1:$G$49,MATCH(orders!$D562,products!$A$1:$A$49,0),MATCH(orders!N$1,products!$A$1:$G$1,0))</f>
        <v>31.624999999999996</v>
      </c>
      <c r="O562" s="13">
        <f t="shared" si="40"/>
        <v>189.74999999999997</v>
      </c>
      <c r="P562" s="13">
        <f>_xlfn.XLOOKUP(Orders[[#This Row],[Product ID]],products!$A$1:$A$49,products!$G$1:$G$49,,0)</f>
        <v>3.4787499999999998</v>
      </c>
      <c r="Q562" s="13">
        <f t="shared" si="41"/>
        <v>20.872499999999999</v>
      </c>
      <c r="R562" t="str">
        <f t="shared" si="43"/>
        <v>Execelsa</v>
      </c>
      <c r="S562" t="str">
        <f t="shared" si="44"/>
        <v>Medium</v>
      </c>
      <c r="T562" t="str">
        <f>_xlfn.XLOOKUP(Orders[[#This Row],[Customer ID]],customers!$A$1:$A$1001,customers!$I$1:$I$1001,,0)</f>
        <v>Yes</v>
      </c>
    </row>
    <row r="563" spans="1:20" x14ac:dyDescent="0.35">
      <c r="A563" s="2" t="s">
        <v>3659</v>
      </c>
      <c r="B563" s="3">
        <v>43688</v>
      </c>
      <c r="C563" s="2" t="s">
        <v>3660</v>
      </c>
      <c r="D563" t="s">
        <v>6154</v>
      </c>
      <c r="E563" t="str">
        <f t="shared" si="42"/>
        <v>Arabica-Dark-0.2</v>
      </c>
      <c r="F563" s="2">
        <v>6</v>
      </c>
      <c r="G563" s="2" t="str" cm="1">
        <f t="array" ref="G563">_xlfn.XLOOKUP(C563, customers!$A$1:A1562,customers!$B$1:B1562,,0)</f>
        <v>Nathaniel Bloxland</v>
      </c>
      <c r="H563" s="2" t="str" cm="1">
        <f t="array" ref="H563">IF(_xlfn.XLOOKUP(C563,customers!$A$1:A1562,customers!$C$1:C1562,,0) = 0,"", _xlfn.XLOOKUP(C563,customers!$A$1:A1562,customers!$C$1:C1562,,0))</f>
        <v/>
      </c>
      <c r="I563" s="2" t="str">
        <f>_xlfn.XLOOKUP(C563,customers!$A$1:$A$1001,customers!$G$1:$G$1001,,0)</f>
        <v>Ireland</v>
      </c>
      <c r="J563" s="2" t="str">
        <f>_xlfn.XLOOKUP(Orders[[#This Row],[Customer ID]],customers!$A$1:$A$1001,customers!$F$1:$F$1001,,0)</f>
        <v>Daingean</v>
      </c>
      <c r="K563" t="str">
        <f>INDEX(products!$A$1:$G$49,MATCH(orders!$D563,products!$A$1:$A$49,0),MATCH(orders!K$1,products!$A$1:$G$1,0))</f>
        <v>Ara</v>
      </c>
      <c r="L563" t="str">
        <f>INDEX(products!$A$1:$G$49,MATCH(orders!$D563,products!$A$1:$A$49,0),MATCH(orders!L$1,products!$A$1:$G$1,0))</f>
        <v>D</v>
      </c>
      <c r="M563" s="14">
        <f>INDEX(products!$A$1:$G$49,MATCH(orders!$D563,products!$A$1:$A$49,0),MATCH(orders!M$1,products!$A$1:$G$1,0))</f>
        <v>0.2</v>
      </c>
      <c r="N563" s="4">
        <f>INDEX(products!$A$1:$G$49,MATCH(orders!$D563,products!$A$1:$A$49,0),MATCH(orders!N$1,products!$A$1:$G$1,0))</f>
        <v>2.9849999999999999</v>
      </c>
      <c r="O563" s="13">
        <f t="shared" si="40"/>
        <v>17.91</v>
      </c>
      <c r="P563" s="13">
        <f>_xlfn.XLOOKUP(Orders[[#This Row],[Product ID]],products!$A$1:$A$49,products!$G$1:$G$49,,0)</f>
        <v>0.26865</v>
      </c>
      <c r="Q563" s="13">
        <f t="shared" si="41"/>
        <v>1.6118999999999999</v>
      </c>
      <c r="R563" t="str">
        <f t="shared" si="43"/>
        <v>Arabica</v>
      </c>
      <c r="S563" t="str">
        <f t="shared" si="44"/>
        <v>Dark</v>
      </c>
      <c r="T563" t="str">
        <f>_xlfn.XLOOKUP(Orders[[#This Row],[Customer ID]],customers!$A$1:$A$1001,customers!$I$1:$I$1001,,0)</f>
        <v>Yes</v>
      </c>
    </row>
    <row r="564" spans="1:20" x14ac:dyDescent="0.35">
      <c r="A564" s="2" t="s">
        <v>3665</v>
      </c>
      <c r="B564" s="3">
        <v>43669</v>
      </c>
      <c r="C564" s="2" t="s">
        <v>3666</v>
      </c>
      <c r="D564" t="s">
        <v>6145</v>
      </c>
      <c r="E564" t="str">
        <f t="shared" si="42"/>
        <v>Liberica-Light-0.2</v>
      </c>
      <c r="F564" s="2">
        <v>6</v>
      </c>
      <c r="G564" s="2" t="str" cm="1">
        <f t="array" ref="G564">_xlfn.XLOOKUP(C564, customers!$A$1:A1563,customers!$B$1:B1563,,0)</f>
        <v>Brendan Grece</v>
      </c>
      <c r="H564" s="2" t="str" cm="1">
        <f t="array" ref="H564">IF(_xlfn.XLOOKUP(C564,customers!$A$1:A1563,customers!$C$1:C1563,,0) = 0,"", _xlfn.XLOOKUP(C564,customers!$A$1:A1563,customers!$C$1:C1563,,0))</f>
        <v>bgrecefm@naver.com</v>
      </c>
      <c r="I564" s="2" t="str">
        <f>_xlfn.XLOOKUP(C564,customers!$A$1:$A$1001,customers!$G$1:$G$1001,,0)</f>
        <v>United Kingdom</v>
      </c>
      <c r="J564" s="2" t="str">
        <f>_xlfn.XLOOKUP(Orders[[#This Row],[Customer ID]],customers!$A$1:$A$1001,customers!$F$1:$F$1001,,0)</f>
        <v>Halton</v>
      </c>
      <c r="K564" t="str">
        <f>INDEX(products!$A$1:$G$49,MATCH(orders!$D564,products!$A$1:$A$49,0),MATCH(orders!K$1,products!$A$1:$G$1,0))</f>
        <v>Lib</v>
      </c>
      <c r="L564" t="str">
        <f>INDEX(products!$A$1:$G$49,MATCH(orders!$D564,products!$A$1:$A$49,0),MATCH(orders!L$1,products!$A$1:$G$1,0))</f>
        <v>L</v>
      </c>
      <c r="M564" s="14">
        <f>INDEX(products!$A$1:$G$49,MATCH(orders!$D564,products!$A$1:$A$49,0),MATCH(orders!M$1,products!$A$1:$G$1,0))</f>
        <v>0.2</v>
      </c>
      <c r="N564" s="4">
        <f>INDEX(products!$A$1:$G$49,MATCH(orders!$D564,products!$A$1:$A$49,0),MATCH(orders!N$1,products!$A$1:$G$1,0))</f>
        <v>4.7549999999999999</v>
      </c>
      <c r="O564" s="13">
        <f t="shared" si="40"/>
        <v>28.53</v>
      </c>
      <c r="P564" s="13">
        <f>_xlfn.XLOOKUP(Orders[[#This Row],[Product ID]],products!$A$1:$A$49,products!$G$1:$G$49,,0)</f>
        <v>0.61814999999999998</v>
      </c>
      <c r="Q564" s="13">
        <f t="shared" si="41"/>
        <v>3.7088999999999999</v>
      </c>
      <c r="R564" t="str">
        <f t="shared" si="43"/>
        <v>Liberica</v>
      </c>
      <c r="S564" t="str">
        <f t="shared" si="44"/>
        <v>Light</v>
      </c>
      <c r="T564" t="str">
        <f>_xlfn.XLOOKUP(Orders[[#This Row],[Customer ID]],customers!$A$1:$A$1001,customers!$I$1:$I$1001,,0)</f>
        <v>No</v>
      </c>
    </row>
    <row r="565" spans="1:20" x14ac:dyDescent="0.35">
      <c r="A565" s="2" t="s">
        <v>3671</v>
      </c>
      <c r="B565" s="3">
        <v>43991</v>
      </c>
      <c r="C565" s="2" t="s">
        <v>3752</v>
      </c>
      <c r="D565" t="s">
        <v>6141</v>
      </c>
      <c r="E565" t="str">
        <f t="shared" si="42"/>
        <v>Excelsa-Medium-1</v>
      </c>
      <c r="F565" s="2">
        <v>6</v>
      </c>
      <c r="G565" s="2" t="str" cm="1">
        <f t="array" ref="G565">_xlfn.XLOOKUP(C565, customers!$A$1:A1564,customers!$B$1:B1564,,0)</f>
        <v>Don Flintiff</v>
      </c>
      <c r="H565" s="2" t="str" cm="1">
        <f t="array" ref="H565">IF(_xlfn.XLOOKUP(C565,customers!$A$1:A1564,customers!$C$1:C1564,,0) = 0,"", _xlfn.XLOOKUP(C565,customers!$A$1:A1564,customers!$C$1:C1564,,0))</f>
        <v>dflintiffg1@e-recht24.de</v>
      </c>
      <c r="I565" s="2" t="str">
        <f>_xlfn.XLOOKUP(C565,customers!$A$1:$A$1001,customers!$G$1:$G$1001,,0)</f>
        <v>United Kingdom</v>
      </c>
      <c r="J565" s="2" t="str">
        <f>_xlfn.XLOOKUP(Orders[[#This Row],[Customer ID]],customers!$A$1:$A$1001,customers!$F$1:$F$1001,,0)</f>
        <v>London</v>
      </c>
      <c r="K565" t="str">
        <f>INDEX(products!$A$1:$G$49,MATCH(orders!$D565,products!$A$1:$A$49,0),MATCH(orders!K$1,products!$A$1:$G$1,0))</f>
        <v>Exc</v>
      </c>
      <c r="L565" t="str">
        <f>INDEX(products!$A$1:$G$49,MATCH(orders!$D565,products!$A$1:$A$49,0),MATCH(orders!L$1,products!$A$1:$G$1,0))</f>
        <v>M</v>
      </c>
      <c r="M565" s="14">
        <f>INDEX(products!$A$1:$G$49,MATCH(orders!$D565,products!$A$1:$A$49,0),MATCH(orders!M$1,products!$A$1:$G$1,0))</f>
        <v>1</v>
      </c>
      <c r="N565" s="4">
        <f>INDEX(products!$A$1:$G$49,MATCH(orders!$D565,products!$A$1:$A$49,0),MATCH(orders!N$1,products!$A$1:$G$1,0))</f>
        <v>13.75</v>
      </c>
      <c r="O565" s="13">
        <f t="shared" si="40"/>
        <v>82.5</v>
      </c>
      <c r="P565" s="13">
        <f>_xlfn.XLOOKUP(Orders[[#This Row],[Product ID]],products!$A$1:$A$49,products!$G$1:$G$49,,0)</f>
        <v>1.5125</v>
      </c>
      <c r="Q565" s="13">
        <f t="shared" si="41"/>
        <v>9.0749999999999993</v>
      </c>
      <c r="R565" t="str">
        <f t="shared" si="43"/>
        <v>Execelsa</v>
      </c>
      <c r="S565" t="str">
        <f t="shared" si="44"/>
        <v>Medium</v>
      </c>
      <c r="T565" t="str">
        <f>_xlfn.XLOOKUP(Orders[[#This Row],[Customer ID]],customers!$A$1:$A$1001,customers!$I$1:$I$1001,,0)</f>
        <v>No</v>
      </c>
    </row>
    <row r="566" spans="1:20" x14ac:dyDescent="0.35">
      <c r="A566" s="2" t="s">
        <v>3677</v>
      </c>
      <c r="B566" s="3">
        <v>43883</v>
      </c>
      <c r="C566" s="2" t="s">
        <v>3678</v>
      </c>
      <c r="D566" t="s">
        <v>6173</v>
      </c>
      <c r="E566" t="str">
        <f t="shared" si="42"/>
        <v>Robusta-Light-0.5</v>
      </c>
      <c r="F566" s="2">
        <v>2</v>
      </c>
      <c r="G566" s="2" t="str" cm="1">
        <f t="array" ref="G566">_xlfn.XLOOKUP(C566, customers!$A$1:A1565,customers!$B$1:B1565,,0)</f>
        <v>Abbe Thys</v>
      </c>
      <c r="H566" s="2" t="str" cm="1">
        <f t="array" ref="H566">IF(_xlfn.XLOOKUP(C566,customers!$A$1:A1565,customers!$C$1:C1565,,0) = 0,"", _xlfn.XLOOKUP(C566,customers!$A$1:A1565,customers!$C$1:C1565,,0))</f>
        <v>athysfo@cdc.gov</v>
      </c>
      <c r="I566" s="2" t="str">
        <f>_xlfn.XLOOKUP(C566,customers!$A$1:$A$1001,customers!$G$1:$G$1001,,0)</f>
        <v>United States</v>
      </c>
      <c r="J566" s="2" t="str">
        <f>_xlfn.XLOOKUP(Orders[[#This Row],[Customer ID]],customers!$A$1:$A$1001,customers!$F$1:$F$1001,,0)</f>
        <v>Knoxville</v>
      </c>
      <c r="K566" t="str">
        <f>INDEX(products!$A$1:$G$49,MATCH(orders!$D566,products!$A$1:$A$49,0),MATCH(orders!K$1,products!$A$1:$G$1,0))</f>
        <v>Rob</v>
      </c>
      <c r="L566" t="str">
        <f>INDEX(products!$A$1:$G$49,MATCH(orders!$D566,products!$A$1:$A$49,0),MATCH(orders!L$1,products!$A$1:$G$1,0))</f>
        <v>L</v>
      </c>
      <c r="M566" s="14">
        <f>INDEX(products!$A$1:$G$49,MATCH(orders!$D566,products!$A$1:$A$49,0),MATCH(orders!M$1,products!$A$1:$G$1,0))</f>
        <v>0.5</v>
      </c>
      <c r="N566" s="4">
        <f>INDEX(products!$A$1:$G$49,MATCH(orders!$D566,products!$A$1:$A$49,0),MATCH(orders!N$1,products!$A$1:$G$1,0))</f>
        <v>7.169999999999999</v>
      </c>
      <c r="O566" s="13">
        <f t="shared" si="40"/>
        <v>14.339999999999998</v>
      </c>
      <c r="P566" s="13">
        <f>_xlfn.XLOOKUP(Orders[[#This Row],[Product ID]],products!$A$1:$A$49,products!$G$1:$G$49,,0)</f>
        <v>0.43019999999999992</v>
      </c>
      <c r="Q566" s="13">
        <f t="shared" si="41"/>
        <v>0.86039999999999983</v>
      </c>
      <c r="R566" t="str">
        <f t="shared" si="43"/>
        <v>Robusta</v>
      </c>
      <c r="S566" t="str">
        <f t="shared" si="44"/>
        <v>Light</v>
      </c>
      <c r="T566" t="str">
        <f>_xlfn.XLOOKUP(Orders[[#This Row],[Customer ID]],customers!$A$1:$A$1001,customers!$I$1:$I$1001,,0)</f>
        <v>No</v>
      </c>
    </row>
    <row r="567" spans="1:20" x14ac:dyDescent="0.35">
      <c r="A567" s="2" t="s">
        <v>3683</v>
      </c>
      <c r="B567" s="3">
        <v>44031</v>
      </c>
      <c r="C567" s="2" t="s">
        <v>3684</v>
      </c>
      <c r="D567" t="s">
        <v>6149</v>
      </c>
      <c r="E567" t="str">
        <f t="shared" si="42"/>
        <v>Robusta-Dark-2.5</v>
      </c>
      <c r="F567" s="2">
        <v>4</v>
      </c>
      <c r="G567" s="2" t="str" cm="1">
        <f t="array" ref="G567">_xlfn.XLOOKUP(C567, customers!$A$1:A1566,customers!$B$1:B1566,,0)</f>
        <v>Jackquelin Chugg</v>
      </c>
      <c r="H567" s="2" t="str" cm="1">
        <f t="array" ref="H567">IF(_xlfn.XLOOKUP(C567,customers!$A$1:A1566,customers!$C$1:C1566,,0) = 0,"", _xlfn.XLOOKUP(C567,customers!$A$1:A1566,customers!$C$1:C1566,,0))</f>
        <v>jchuggfp@about.me</v>
      </c>
      <c r="I567" s="2" t="str">
        <f>_xlfn.XLOOKUP(C567,customers!$A$1:$A$1001,customers!$G$1:$G$1001,,0)</f>
        <v>United States</v>
      </c>
      <c r="J567" s="2" t="str">
        <f>_xlfn.XLOOKUP(Orders[[#This Row],[Customer ID]],customers!$A$1:$A$1001,customers!$F$1:$F$1001,,0)</f>
        <v>Shawnee Mission</v>
      </c>
      <c r="K567" t="str">
        <f>INDEX(products!$A$1:$G$49,MATCH(orders!$D567,products!$A$1:$A$49,0),MATCH(orders!K$1,products!$A$1:$G$1,0))</f>
        <v>Rob</v>
      </c>
      <c r="L567" t="str">
        <f>INDEX(products!$A$1:$G$49,MATCH(orders!$D567,products!$A$1:$A$49,0),MATCH(orders!L$1,products!$A$1:$G$1,0))</f>
        <v>D</v>
      </c>
      <c r="M567" s="14">
        <f>INDEX(products!$A$1:$G$49,MATCH(orders!$D567,products!$A$1:$A$49,0),MATCH(orders!M$1,products!$A$1:$G$1,0))</f>
        <v>2.5</v>
      </c>
      <c r="N567" s="4">
        <f>INDEX(products!$A$1:$G$49,MATCH(orders!$D567,products!$A$1:$A$49,0),MATCH(orders!N$1,products!$A$1:$G$1,0))</f>
        <v>20.584999999999997</v>
      </c>
      <c r="O567" s="13">
        <f t="shared" si="40"/>
        <v>82.339999999999989</v>
      </c>
      <c r="P567" s="13">
        <f>_xlfn.XLOOKUP(Orders[[#This Row],[Product ID]],products!$A$1:$A$49,products!$G$1:$G$49,,0)</f>
        <v>1.2350999999999999</v>
      </c>
      <c r="Q567" s="13">
        <f t="shared" si="41"/>
        <v>4.9403999999999995</v>
      </c>
      <c r="R567" t="str">
        <f t="shared" si="43"/>
        <v>Robusta</v>
      </c>
      <c r="S567" t="str">
        <f t="shared" si="44"/>
        <v>Dark</v>
      </c>
      <c r="T567" t="str">
        <f>_xlfn.XLOOKUP(Orders[[#This Row],[Customer ID]],customers!$A$1:$A$1001,customers!$I$1:$I$1001,,0)</f>
        <v>No</v>
      </c>
    </row>
    <row r="568" spans="1:20" x14ac:dyDescent="0.35">
      <c r="A568" s="2" t="s">
        <v>3689</v>
      </c>
      <c r="B568" s="3">
        <v>44459</v>
      </c>
      <c r="C568" s="2" t="s">
        <v>3690</v>
      </c>
      <c r="D568" t="s">
        <v>6152</v>
      </c>
      <c r="E568" t="str">
        <f t="shared" si="42"/>
        <v>Arabica-Medium-0.2</v>
      </c>
      <c r="F568" s="2">
        <v>6</v>
      </c>
      <c r="G568" s="2" t="str" cm="1">
        <f t="array" ref="G568">_xlfn.XLOOKUP(C568, customers!$A$1:A1567,customers!$B$1:B1567,,0)</f>
        <v>Audra Kelston</v>
      </c>
      <c r="H568" s="2" t="str" cm="1">
        <f t="array" ref="H568">IF(_xlfn.XLOOKUP(C568,customers!$A$1:A1567,customers!$C$1:C1567,,0) = 0,"", _xlfn.XLOOKUP(C568,customers!$A$1:A1567,customers!$C$1:C1567,,0))</f>
        <v>akelstonfq@sakura.ne.jp</v>
      </c>
      <c r="I568" s="2" t="str">
        <f>_xlfn.XLOOKUP(C568,customers!$A$1:$A$1001,customers!$G$1:$G$1001,,0)</f>
        <v>United States</v>
      </c>
      <c r="J568" s="2" t="str">
        <f>_xlfn.XLOOKUP(Orders[[#This Row],[Customer ID]],customers!$A$1:$A$1001,customers!$F$1:$F$1001,,0)</f>
        <v>Fort Lauderdale</v>
      </c>
      <c r="K568" t="str">
        <f>INDEX(products!$A$1:$G$49,MATCH(orders!$D568,products!$A$1:$A$49,0),MATCH(orders!K$1,products!$A$1:$G$1,0))</f>
        <v>Ara</v>
      </c>
      <c r="L568" t="str">
        <f>INDEX(products!$A$1:$G$49,MATCH(orders!$D568,products!$A$1:$A$49,0),MATCH(orders!L$1,products!$A$1:$G$1,0))</f>
        <v>M</v>
      </c>
      <c r="M568" s="14">
        <f>INDEX(products!$A$1:$G$49,MATCH(orders!$D568,products!$A$1:$A$49,0),MATCH(orders!M$1,products!$A$1:$G$1,0))</f>
        <v>0.2</v>
      </c>
      <c r="N568" s="4">
        <f>INDEX(products!$A$1:$G$49,MATCH(orders!$D568,products!$A$1:$A$49,0),MATCH(orders!N$1,products!$A$1:$G$1,0))</f>
        <v>3.375</v>
      </c>
      <c r="O568" s="13">
        <f t="shared" si="40"/>
        <v>20.25</v>
      </c>
      <c r="P568" s="13">
        <f>_xlfn.XLOOKUP(Orders[[#This Row],[Product ID]],products!$A$1:$A$49,products!$G$1:$G$49,,0)</f>
        <v>0.30374999999999996</v>
      </c>
      <c r="Q568" s="13">
        <f t="shared" si="41"/>
        <v>1.8224999999999998</v>
      </c>
      <c r="R568" t="str">
        <f t="shared" si="43"/>
        <v>Arabica</v>
      </c>
      <c r="S568" t="str">
        <f t="shared" si="44"/>
        <v>Medium</v>
      </c>
      <c r="T568" t="str">
        <f>_xlfn.XLOOKUP(Orders[[#This Row],[Customer ID]],customers!$A$1:$A$1001,customers!$I$1:$I$1001,,0)</f>
        <v>Yes</v>
      </c>
    </row>
    <row r="569" spans="1:20" x14ac:dyDescent="0.35">
      <c r="A569" s="2" t="s">
        <v>3695</v>
      </c>
      <c r="B569" s="3">
        <v>44318</v>
      </c>
      <c r="C569" s="2" t="s">
        <v>3696</v>
      </c>
      <c r="D569" t="s">
        <v>6142</v>
      </c>
      <c r="E569" t="str">
        <f t="shared" si="42"/>
        <v>Robusta-Light-2.5</v>
      </c>
      <c r="F569" s="2">
        <v>6</v>
      </c>
      <c r="G569" s="2" t="str" cm="1">
        <f t="array" ref="G569">_xlfn.XLOOKUP(C569, customers!$A$1:A1568,customers!$B$1:B1568,,0)</f>
        <v>Elvina Angel</v>
      </c>
      <c r="H569" s="2" t="str" cm="1">
        <f t="array" ref="H569">IF(_xlfn.XLOOKUP(C569,customers!$A$1:A1568,customers!$C$1:C1568,,0) = 0,"", _xlfn.XLOOKUP(C569,customers!$A$1:A1568,customers!$C$1:C1568,,0))</f>
        <v/>
      </c>
      <c r="I569" s="2" t="str">
        <f>_xlfn.XLOOKUP(C569,customers!$A$1:$A$1001,customers!$G$1:$G$1001,,0)</f>
        <v>Ireland</v>
      </c>
      <c r="J569" s="2" t="str">
        <f>_xlfn.XLOOKUP(Orders[[#This Row],[Customer ID]],customers!$A$1:$A$1001,customers!$F$1:$F$1001,,0)</f>
        <v>Tralee</v>
      </c>
      <c r="K569" t="str">
        <f>INDEX(products!$A$1:$G$49,MATCH(orders!$D569,products!$A$1:$A$49,0),MATCH(orders!K$1,products!$A$1:$G$1,0))</f>
        <v>Rob</v>
      </c>
      <c r="L569" t="str">
        <f>INDEX(products!$A$1:$G$49,MATCH(orders!$D569,products!$A$1:$A$49,0),MATCH(orders!L$1,products!$A$1:$G$1,0))</f>
        <v>L</v>
      </c>
      <c r="M569" s="14">
        <f>INDEX(products!$A$1:$G$49,MATCH(orders!$D569,products!$A$1:$A$49,0),MATCH(orders!M$1,products!$A$1:$G$1,0))</f>
        <v>2.5</v>
      </c>
      <c r="N569" s="4">
        <f>INDEX(products!$A$1:$G$49,MATCH(orders!$D569,products!$A$1:$A$49,0),MATCH(orders!N$1,products!$A$1:$G$1,0))</f>
        <v>27.484999999999996</v>
      </c>
      <c r="O569" s="13">
        <f t="shared" si="40"/>
        <v>164.90999999999997</v>
      </c>
      <c r="P569" s="13">
        <f>_xlfn.XLOOKUP(Orders[[#This Row],[Product ID]],products!$A$1:$A$49,products!$G$1:$G$49,,0)</f>
        <v>1.6490999999999998</v>
      </c>
      <c r="Q569" s="13">
        <f t="shared" si="41"/>
        <v>9.8945999999999987</v>
      </c>
      <c r="R569" t="str">
        <f t="shared" si="43"/>
        <v>Robusta</v>
      </c>
      <c r="S569" t="str">
        <f t="shared" si="44"/>
        <v>Light</v>
      </c>
      <c r="T569" t="str">
        <f>_xlfn.XLOOKUP(Orders[[#This Row],[Customer ID]],customers!$A$1:$A$1001,customers!$I$1:$I$1001,,0)</f>
        <v>No</v>
      </c>
    </row>
    <row r="570" spans="1:20" x14ac:dyDescent="0.35">
      <c r="A570" s="2" t="s">
        <v>3700</v>
      </c>
      <c r="B570" s="3">
        <v>44526</v>
      </c>
      <c r="C570" s="2" t="s">
        <v>3701</v>
      </c>
      <c r="D570" t="s">
        <v>6145</v>
      </c>
      <c r="E570" t="str">
        <f t="shared" si="42"/>
        <v>Liberica-Light-0.2</v>
      </c>
      <c r="F570" s="2">
        <v>4</v>
      </c>
      <c r="G570" s="2" t="str" cm="1">
        <f t="array" ref="G570">_xlfn.XLOOKUP(C570, customers!$A$1:A1569,customers!$B$1:B1569,,0)</f>
        <v>Claiborne Mottram</v>
      </c>
      <c r="H570" s="2" t="str" cm="1">
        <f t="array" ref="H570">IF(_xlfn.XLOOKUP(C570,customers!$A$1:A1569,customers!$C$1:C1569,,0) = 0,"", _xlfn.XLOOKUP(C570,customers!$A$1:A1569,customers!$C$1:C1569,,0))</f>
        <v>cmottramfs@harvard.edu</v>
      </c>
      <c r="I570" s="2" t="str">
        <f>_xlfn.XLOOKUP(C570,customers!$A$1:$A$1001,customers!$G$1:$G$1001,,0)</f>
        <v>United States</v>
      </c>
      <c r="J570" s="2" t="str">
        <f>_xlfn.XLOOKUP(Orders[[#This Row],[Customer ID]],customers!$A$1:$A$1001,customers!$F$1:$F$1001,,0)</f>
        <v>Austin</v>
      </c>
      <c r="K570" t="str">
        <f>INDEX(products!$A$1:$G$49,MATCH(orders!$D570,products!$A$1:$A$49,0),MATCH(orders!K$1,products!$A$1:$G$1,0))</f>
        <v>Lib</v>
      </c>
      <c r="L570" t="str">
        <f>INDEX(products!$A$1:$G$49,MATCH(orders!$D570,products!$A$1:$A$49,0),MATCH(orders!L$1,products!$A$1:$G$1,0))</f>
        <v>L</v>
      </c>
      <c r="M570" s="14">
        <f>INDEX(products!$A$1:$G$49,MATCH(orders!$D570,products!$A$1:$A$49,0),MATCH(orders!M$1,products!$A$1:$G$1,0))</f>
        <v>0.2</v>
      </c>
      <c r="N570" s="4">
        <f>INDEX(products!$A$1:$G$49,MATCH(orders!$D570,products!$A$1:$A$49,0),MATCH(orders!N$1,products!$A$1:$G$1,0))</f>
        <v>4.7549999999999999</v>
      </c>
      <c r="O570" s="13">
        <f t="shared" si="40"/>
        <v>19.02</v>
      </c>
      <c r="P570" s="13">
        <f>_xlfn.XLOOKUP(Orders[[#This Row],[Product ID]],products!$A$1:$A$49,products!$G$1:$G$49,,0)</f>
        <v>0.61814999999999998</v>
      </c>
      <c r="Q570" s="13">
        <f t="shared" si="41"/>
        <v>2.4725999999999999</v>
      </c>
      <c r="R570" t="str">
        <f t="shared" si="43"/>
        <v>Liberica</v>
      </c>
      <c r="S570" t="str">
        <f t="shared" si="44"/>
        <v>Light</v>
      </c>
      <c r="T570" t="str">
        <f>_xlfn.XLOOKUP(Orders[[#This Row],[Customer ID]],customers!$A$1:$A$1001,customers!$I$1:$I$1001,,0)</f>
        <v>Yes</v>
      </c>
    </row>
    <row r="571" spans="1:20" x14ac:dyDescent="0.35">
      <c r="A571" s="2" t="s">
        <v>3706</v>
      </c>
      <c r="B571" s="3">
        <v>43879</v>
      </c>
      <c r="C571" s="2" t="s">
        <v>3752</v>
      </c>
      <c r="D571" t="s">
        <v>6168</v>
      </c>
      <c r="E571" t="str">
        <f t="shared" si="42"/>
        <v>Arabica-Dark-2.5</v>
      </c>
      <c r="F571" s="2">
        <v>6</v>
      </c>
      <c r="G571" s="2" t="str" cm="1">
        <f t="array" ref="G571">_xlfn.XLOOKUP(C571, customers!$A$1:A1570,customers!$B$1:B1570,,0)</f>
        <v>Don Flintiff</v>
      </c>
      <c r="H571" s="2" t="str" cm="1">
        <f t="array" ref="H571">IF(_xlfn.XLOOKUP(C571,customers!$A$1:A1570,customers!$C$1:C1570,,0) = 0,"", _xlfn.XLOOKUP(C571,customers!$A$1:A1570,customers!$C$1:C1570,,0))</f>
        <v>dflintiffg1@e-recht24.de</v>
      </c>
      <c r="I571" s="2" t="str">
        <f>_xlfn.XLOOKUP(C571,customers!$A$1:$A$1001,customers!$G$1:$G$1001,,0)</f>
        <v>United Kingdom</v>
      </c>
      <c r="J571" s="2" t="str">
        <f>_xlfn.XLOOKUP(Orders[[#This Row],[Customer ID]],customers!$A$1:$A$1001,customers!$F$1:$F$1001,,0)</f>
        <v>London</v>
      </c>
      <c r="K571" t="str">
        <f>INDEX(products!$A$1:$G$49,MATCH(orders!$D571,products!$A$1:$A$49,0),MATCH(orders!K$1,products!$A$1:$G$1,0))</f>
        <v>Ara</v>
      </c>
      <c r="L571" t="str">
        <f>INDEX(products!$A$1:$G$49,MATCH(orders!$D571,products!$A$1:$A$49,0),MATCH(orders!L$1,products!$A$1:$G$1,0))</f>
        <v>D</v>
      </c>
      <c r="M571" s="14">
        <f>INDEX(products!$A$1:$G$49,MATCH(orders!$D571,products!$A$1:$A$49,0),MATCH(orders!M$1,products!$A$1:$G$1,0))</f>
        <v>2.5</v>
      </c>
      <c r="N571" s="4">
        <f>INDEX(products!$A$1:$G$49,MATCH(orders!$D571,products!$A$1:$A$49,0),MATCH(orders!N$1,products!$A$1:$G$1,0))</f>
        <v>22.884999999999998</v>
      </c>
      <c r="O571" s="13">
        <f t="shared" si="40"/>
        <v>137.31</v>
      </c>
      <c r="P571" s="13">
        <f>_xlfn.XLOOKUP(Orders[[#This Row],[Product ID]],products!$A$1:$A$49,products!$G$1:$G$49,,0)</f>
        <v>2.0596499999999995</v>
      </c>
      <c r="Q571" s="13">
        <f t="shared" si="41"/>
        <v>12.357899999999997</v>
      </c>
      <c r="R571" t="str">
        <f t="shared" si="43"/>
        <v>Arabica</v>
      </c>
      <c r="S571" t="str">
        <f t="shared" si="44"/>
        <v>Dark</v>
      </c>
      <c r="T571" t="str">
        <f>_xlfn.XLOOKUP(Orders[[#This Row],[Customer ID]],customers!$A$1:$A$1001,customers!$I$1:$I$1001,,0)</f>
        <v>No</v>
      </c>
    </row>
    <row r="572" spans="1:20" x14ac:dyDescent="0.35">
      <c r="A572" s="2" t="s">
        <v>3712</v>
      </c>
      <c r="B572" s="3">
        <v>43928</v>
      </c>
      <c r="C572" s="2" t="s">
        <v>3713</v>
      </c>
      <c r="D572" t="s">
        <v>6157</v>
      </c>
      <c r="E572" t="str">
        <f t="shared" si="42"/>
        <v>Arabica-Medium-0.5</v>
      </c>
      <c r="F572" s="2">
        <v>4</v>
      </c>
      <c r="G572" s="2" t="str" cm="1">
        <f t="array" ref="G572">_xlfn.XLOOKUP(C572, customers!$A$1:A1571,customers!$B$1:B1571,,0)</f>
        <v>Donalt Sangwin</v>
      </c>
      <c r="H572" s="2" t="str" cm="1">
        <f t="array" ref="H572">IF(_xlfn.XLOOKUP(C572,customers!$A$1:A1571,customers!$C$1:C1571,,0) = 0,"", _xlfn.XLOOKUP(C572,customers!$A$1:A1571,customers!$C$1:C1571,,0))</f>
        <v>dsangwinfu@weebly.com</v>
      </c>
      <c r="I572" s="2" t="str">
        <f>_xlfn.XLOOKUP(C572,customers!$A$1:$A$1001,customers!$G$1:$G$1001,,0)</f>
        <v>United States</v>
      </c>
      <c r="J572" s="2" t="str">
        <f>_xlfn.XLOOKUP(Orders[[#This Row],[Customer ID]],customers!$A$1:$A$1001,customers!$F$1:$F$1001,,0)</f>
        <v>Hyattsville</v>
      </c>
      <c r="K572" t="str">
        <f>INDEX(products!$A$1:$G$49,MATCH(orders!$D572,products!$A$1:$A$49,0),MATCH(orders!K$1,products!$A$1:$G$1,0))</f>
        <v>Ara</v>
      </c>
      <c r="L572" t="str">
        <f>INDEX(products!$A$1:$G$49,MATCH(orders!$D572,products!$A$1:$A$49,0),MATCH(orders!L$1,products!$A$1:$G$1,0))</f>
        <v>M</v>
      </c>
      <c r="M572" s="14">
        <f>INDEX(products!$A$1:$G$49,MATCH(orders!$D572,products!$A$1:$A$49,0),MATCH(orders!M$1,products!$A$1:$G$1,0))</f>
        <v>0.5</v>
      </c>
      <c r="N572" s="4">
        <f>INDEX(products!$A$1:$G$49,MATCH(orders!$D572,products!$A$1:$A$49,0),MATCH(orders!N$1,products!$A$1:$G$1,0))</f>
        <v>6.75</v>
      </c>
      <c r="O572" s="13">
        <f t="shared" si="40"/>
        <v>27</v>
      </c>
      <c r="P572" s="13">
        <f>_xlfn.XLOOKUP(Orders[[#This Row],[Product ID]],products!$A$1:$A$49,products!$G$1:$G$49,,0)</f>
        <v>0.60749999999999993</v>
      </c>
      <c r="Q572" s="13">
        <f t="shared" si="41"/>
        <v>2.4299999999999997</v>
      </c>
      <c r="R572" t="str">
        <f t="shared" si="43"/>
        <v>Arabica</v>
      </c>
      <c r="S572" t="str">
        <f t="shared" si="44"/>
        <v>Medium</v>
      </c>
      <c r="T572" t="str">
        <f>_xlfn.XLOOKUP(Orders[[#This Row],[Customer ID]],customers!$A$1:$A$1001,customers!$I$1:$I$1001,,0)</f>
        <v>No</v>
      </c>
    </row>
    <row r="573" spans="1:20" x14ac:dyDescent="0.35">
      <c r="A573" s="2" t="s">
        <v>3718</v>
      </c>
      <c r="B573" s="3">
        <v>44592</v>
      </c>
      <c r="C573" s="2" t="s">
        <v>3719</v>
      </c>
      <c r="D573" t="s">
        <v>6176</v>
      </c>
      <c r="E573" t="str">
        <f t="shared" si="42"/>
        <v>Excelsa-Light-0.5</v>
      </c>
      <c r="F573" s="2">
        <v>4</v>
      </c>
      <c r="G573" s="2" t="str" cm="1">
        <f t="array" ref="G573">_xlfn.XLOOKUP(C573, customers!$A$1:A1572,customers!$B$1:B1572,,0)</f>
        <v>Elizabet Aizikowitz</v>
      </c>
      <c r="H573" s="2" t="str" cm="1">
        <f t="array" ref="H573">IF(_xlfn.XLOOKUP(C573,customers!$A$1:A1572,customers!$C$1:C1572,,0) = 0,"", _xlfn.XLOOKUP(C573,customers!$A$1:A1572,customers!$C$1:C1572,,0))</f>
        <v>eaizikowitzfv@virginia.edu</v>
      </c>
      <c r="I573" s="2" t="str">
        <f>_xlfn.XLOOKUP(C573,customers!$A$1:$A$1001,customers!$G$1:$G$1001,,0)</f>
        <v>United Kingdom</v>
      </c>
      <c r="J573" s="2" t="str">
        <f>_xlfn.XLOOKUP(Orders[[#This Row],[Customer ID]],customers!$A$1:$A$1001,customers!$F$1:$F$1001,,0)</f>
        <v>Ashley</v>
      </c>
      <c r="K573" t="str">
        <f>INDEX(products!$A$1:$G$49,MATCH(orders!$D573,products!$A$1:$A$49,0),MATCH(orders!K$1,products!$A$1:$G$1,0))</f>
        <v>Exc</v>
      </c>
      <c r="L573" t="str">
        <f>INDEX(products!$A$1:$G$49,MATCH(orders!$D573,products!$A$1:$A$49,0),MATCH(orders!L$1,products!$A$1:$G$1,0))</f>
        <v>L</v>
      </c>
      <c r="M573" s="14">
        <f>INDEX(products!$A$1:$G$49,MATCH(orders!$D573,products!$A$1:$A$49,0),MATCH(orders!M$1,products!$A$1:$G$1,0))</f>
        <v>0.5</v>
      </c>
      <c r="N573" s="4">
        <f>INDEX(products!$A$1:$G$49,MATCH(orders!$D573,products!$A$1:$A$49,0),MATCH(orders!N$1,products!$A$1:$G$1,0))</f>
        <v>8.91</v>
      </c>
      <c r="O573" s="13">
        <f t="shared" si="40"/>
        <v>35.64</v>
      </c>
      <c r="P573" s="13">
        <f>_xlfn.XLOOKUP(Orders[[#This Row],[Product ID]],products!$A$1:$A$49,products!$G$1:$G$49,,0)</f>
        <v>0.98009999999999997</v>
      </c>
      <c r="Q573" s="13">
        <f t="shared" si="41"/>
        <v>3.9203999999999999</v>
      </c>
      <c r="R573" t="str">
        <f t="shared" si="43"/>
        <v>Execelsa</v>
      </c>
      <c r="S573" t="str">
        <f t="shared" si="44"/>
        <v>Light</v>
      </c>
      <c r="T573" t="str">
        <f>_xlfn.XLOOKUP(Orders[[#This Row],[Customer ID]],customers!$A$1:$A$1001,customers!$I$1:$I$1001,,0)</f>
        <v>No</v>
      </c>
    </row>
    <row r="574" spans="1:20" x14ac:dyDescent="0.35">
      <c r="A574" s="2" t="s">
        <v>3724</v>
      </c>
      <c r="B574" s="3">
        <v>43515</v>
      </c>
      <c r="C574" s="2" t="s">
        <v>3725</v>
      </c>
      <c r="D574" t="s">
        <v>6154</v>
      </c>
      <c r="E574" t="str">
        <f t="shared" si="42"/>
        <v>Arabica-Dark-0.2</v>
      </c>
      <c r="F574" s="2">
        <v>2</v>
      </c>
      <c r="G574" s="2" t="str" cm="1">
        <f t="array" ref="G574">_xlfn.XLOOKUP(C574, customers!$A$1:A1573,customers!$B$1:B1573,,0)</f>
        <v>Herbie Peppard</v>
      </c>
      <c r="H574" s="2" t="str" cm="1">
        <f t="array" ref="H574">IF(_xlfn.XLOOKUP(C574,customers!$A$1:A1573,customers!$C$1:C1573,,0) = 0,"", _xlfn.XLOOKUP(C574,customers!$A$1:A1573,customers!$C$1:C1573,,0))</f>
        <v/>
      </c>
      <c r="I574" s="2" t="str">
        <f>_xlfn.XLOOKUP(C574,customers!$A$1:$A$1001,customers!$G$1:$G$1001,,0)</f>
        <v>United States</v>
      </c>
      <c r="J574" s="2" t="str">
        <f>_xlfn.XLOOKUP(Orders[[#This Row],[Customer ID]],customers!$A$1:$A$1001,customers!$F$1:$F$1001,,0)</f>
        <v>Pasadena</v>
      </c>
      <c r="K574" t="str">
        <f>INDEX(products!$A$1:$G$49,MATCH(orders!$D574,products!$A$1:$A$49,0),MATCH(orders!K$1,products!$A$1:$G$1,0))</f>
        <v>Ara</v>
      </c>
      <c r="L574" t="str">
        <f>INDEX(products!$A$1:$G$49,MATCH(orders!$D574,products!$A$1:$A$49,0),MATCH(orders!L$1,products!$A$1:$G$1,0))</f>
        <v>D</v>
      </c>
      <c r="M574" s="14">
        <f>INDEX(products!$A$1:$G$49,MATCH(orders!$D574,products!$A$1:$A$49,0),MATCH(orders!M$1,products!$A$1:$G$1,0))</f>
        <v>0.2</v>
      </c>
      <c r="N574" s="4">
        <f>INDEX(products!$A$1:$G$49,MATCH(orders!$D574,products!$A$1:$A$49,0),MATCH(orders!N$1,products!$A$1:$G$1,0))</f>
        <v>2.9849999999999999</v>
      </c>
      <c r="O574" s="13">
        <f t="shared" si="40"/>
        <v>5.97</v>
      </c>
      <c r="P574" s="13">
        <f>_xlfn.XLOOKUP(Orders[[#This Row],[Product ID]],products!$A$1:$A$49,products!$G$1:$G$49,,0)</f>
        <v>0.26865</v>
      </c>
      <c r="Q574" s="13">
        <f t="shared" si="41"/>
        <v>0.5373</v>
      </c>
      <c r="R574" t="str">
        <f t="shared" si="43"/>
        <v>Arabica</v>
      </c>
      <c r="S574" t="str">
        <f t="shared" si="44"/>
        <v>Dark</v>
      </c>
      <c r="T574" t="str">
        <f>_xlfn.XLOOKUP(Orders[[#This Row],[Customer ID]],customers!$A$1:$A$1001,customers!$I$1:$I$1001,,0)</f>
        <v>Yes</v>
      </c>
    </row>
    <row r="575" spans="1:20" x14ac:dyDescent="0.35">
      <c r="A575" s="2" t="s">
        <v>3728</v>
      </c>
      <c r="B575" s="3">
        <v>43781</v>
      </c>
      <c r="C575" s="2" t="s">
        <v>3729</v>
      </c>
      <c r="D575" t="s">
        <v>6155</v>
      </c>
      <c r="E575" t="str">
        <f t="shared" si="42"/>
        <v>Arabica-Medium-1</v>
      </c>
      <c r="F575" s="2">
        <v>6</v>
      </c>
      <c r="G575" s="2" t="str" cm="1">
        <f t="array" ref="G575">_xlfn.XLOOKUP(C575, customers!$A$1:A1574,customers!$B$1:B1574,,0)</f>
        <v>Cornie Venour</v>
      </c>
      <c r="H575" s="2" t="str" cm="1">
        <f t="array" ref="H575">IF(_xlfn.XLOOKUP(C575,customers!$A$1:A1574,customers!$C$1:C1574,,0) = 0,"", _xlfn.XLOOKUP(C575,customers!$A$1:A1574,customers!$C$1:C1574,,0))</f>
        <v>cvenourfx@ask.com</v>
      </c>
      <c r="I575" s="2" t="str">
        <f>_xlfn.XLOOKUP(C575,customers!$A$1:$A$1001,customers!$G$1:$G$1001,,0)</f>
        <v>United States</v>
      </c>
      <c r="J575" s="2" t="str">
        <f>_xlfn.XLOOKUP(Orders[[#This Row],[Customer ID]],customers!$A$1:$A$1001,customers!$F$1:$F$1001,,0)</f>
        <v>Shreveport</v>
      </c>
      <c r="K575" t="str">
        <f>INDEX(products!$A$1:$G$49,MATCH(orders!$D575,products!$A$1:$A$49,0),MATCH(orders!K$1,products!$A$1:$G$1,0))</f>
        <v>Ara</v>
      </c>
      <c r="L575" t="str">
        <f>INDEX(products!$A$1:$G$49,MATCH(orders!$D575,products!$A$1:$A$49,0),MATCH(orders!L$1,products!$A$1:$G$1,0))</f>
        <v>M</v>
      </c>
      <c r="M575" s="14">
        <f>INDEX(products!$A$1:$G$49,MATCH(orders!$D575,products!$A$1:$A$49,0),MATCH(orders!M$1,products!$A$1:$G$1,0))</f>
        <v>1</v>
      </c>
      <c r="N575" s="4">
        <f>INDEX(products!$A$1:$G$49,MATCH(orders!$D575,products!$A$1:$A$49,0),MATCH(orders!N$1,products!$A$1:$G$1,0))</f>
        <v>11.25</v>
      </c>
      <c r="O575" s="13">
        <f t="shared" si="40"/>
        <v>67.5</v>
      </c>
      <c r="P575" s="13">
        <f>_xlfn.XLOOKUP(Orders[[#This Row],[Product ID]],products!$A$1:$A$49,products!$G$1:$G$49,,0)</f>
        <v>1.0125</v>
      </c>
      <c r="Q575" s="13">
        <f t="shared" si="41"/>
        <v>6.0749999999999993</v>
      </c>
      <c r="R575" t="str">
        <f t="shared" si="43"/>
        <v>Arabica</v>
      </c>
      <c r="S575" t="str">
        <f t="shared" si="44"/>
        <v>Medium</v>
      </c>
      <c r="T575" t="str">
        <f>_xlfn.XLOOKUP(Orders[[#This Row],[Customer ID]],customers!$A$1:$A$1001,customers!$I$1:$I$1001,,0)</f>
        <v>No</v>
      </c>
    </row>
    <row r="576" spans="1:20" x14ac:dyDescent="0.35">
      <c r="A576" s="2" t="s">
        <v>3734</v>
      </c>
      <c r="B576" s="3">
        <v>44697</v>
      </c>
      <c r="C576" s="2" t="s">
        <v>3735</v>
      </c>
      <c r="D576" t="s">
        <v>6178</v>
      </c>
      <c r="E576" t="str">
        <f t="shared" si="42"/>
        <v>Robusta-Light-0.2</v>
      </c>
      <c r="F576" s="2">
        <v>6</v>
      </c>
      <c r="G576" s="2" t="str" cm="1">
        <f t="array" ref="G576">_xlfn.XLOOKUP(C576, customers!$A$1:A1575,customers!$B$1:B1575,,0)</f>
        <v>Maggy Harby</v>
      </c>
      <c r="H576" s="2" t="str" cm="1">
        <f t="array" ref="H576">IF(_xlfn.XLOOKUP(C576,customers!$A$1:A1575,customers!$C$1:C1575,,0) = 0,"", _xlfn.XLOOKUP(C576,customers!$A$1:A1575,customers!$C$1:C1575,,0))</f>
        <v>mharbyfy@163.com</v>
      </c>
      <c r="I576" s="2" t="str">
        <f>_xlfn.XLOOKUP(C576,customers!$A$1:$A$1001,customers!$G$1:$G$1001,,0)</f>
        <v>United States</v>
      </c>
      <c r="J576" s="2" t="str">
        <f>_xlfn.XLOOKUP(Orders[[#This Row],[Customer ID]],customers!$A$1:$A$1001,customers!$F$1:$F$1001,,0)</f>
        <v>Pensacola</v>
      </c>
      <c r="K576" t="str">
        <f>INDEX(products!$A$1:$G$49,MATCH(orders!$D576,products!$A$1:$A$49,0),MATCH(orders!K$1,products!$A$1:$G$1,0))</f>
        <v>Rob</v>
      </c>
      <c r="L576" t="str">
        <f>INDEX(products!$A$1:$G$49,MATCH(orders!$D576,products!$A$1:$A$49,0),MATCH(orders!L$1,products!$A$1:$G$1,0))</f>
        <v>L</v>
      </c>
      <c r="M576" s="14">
        <f>INDEX(products!$A$1:$G$49,MATCH(orders!$D576,products!$A$1:$A$49,0),MATCH(orders!M$1,products!$A$1:$G$1,0))</f>
        <v>0.2</v>
      </c>
      <c r="N576" s="4">
        <f>INDEX(products!$A$1:$G$49,MATCH(orders!$D576,products!$A$1:$A$49,0),MATCH(orders!N$1,products!$A$1:$G$1,0))</f>
        <v>3.5849999999999995</v>
      </c>
      <c r="O576" s="13">
        <f t="shared" si="40"/>
        <v>21.509999999999998</v>
      </c>
      <c r="P576" s="13">
        <f>_xlfn.XLOOKUP(Orders[[#This Row],[Product ID]],products!$A$1:$A$49,products!$G$1:$G$49,,0)</f>
        <v>0.21509999999999996</v>
      </c>
      <c r="Q576" s="13">
        <f t="shared" si="41"/>
        <v>1.2905999999999997</v>
      </c>
      <c r="R576" t="str">
        <f t="shared" si="43"/>
        <v>Robusta</v>
      </c>
      <c r="S576" t="str">
        <f t="shared" si="44"/>
        <v>Light</v>
      </c>
      <c r="T576" t="str">
        <f>_xlfn.XLOOKUP(Orders[[#This Row],[Customer ID]],customers!$A$1:$A$1001,customers!$I$1:$I$1001,,0)</f>
        <v>Yes</v>
      </c>
    </row>
    <row r="577" spans="1:20" x14ac:dyDescent="0.35">
      <c r="A577" s="2" t="s">
        <v>3739</v>
      </c>
      <c r="B577" s="3">
        <v>44239</v>
      </c>
      <c r="C577" s="2" t="s">
        <v>3740</v>
      </c>
      <c r="D577" t="s">
        <v>6181</v>
      </c>
      <c r="E577" t="str">
        <f t="shared" si="42"/>
        <v>Liberica-Medium-2.5</v>
      </c>
      <c r="F577" s="2">
        <v>2</v>
      </c>
      <c r="G577" s="2" t="str" cm="1">
        <f t="array" ref="G577">_xlfn.XLOOKUP(C577, customers!$A$1:A1576,customers!$B$1:B1576,,0)</f>
        <v>Reggie Thickpenny</v>
      </c>
      <c r="H577" s="2" t="str" cm="1">
        <f t="array" ref="H577">IF(_xlfn.XLOOKUP(C577,customers!$A$1:A1576,customers!$C$1:C1576,,0) = 0,"", _xlfn.XLOOKUP(C577,customers!$A$1:A1576,customers!$C$1:C1576,,0))</f>
        <v>rthickpennyfz@cafepress.com</v>
      </c>
      <c r="I577" s="2" t="str">
        <f>_xlfn.XLOOKUP(C577,customers!$A$1:$A$1001,customers!$G$1:$G$1001,,0)</f>
        <v>United States</v>
      </c>
      <c r="J577" s="2" t="str">
        <f>_xlfn.XLOOKUP(Orders[[#This Row],[Customer ID]],customers!$A$1:$A$1001,customers!$F$1:$F$1001,,0)</f>
        <v>Los Angeles</v>
      </c>
      <c r="K577" t="str">
        <f>INDEX(products!$A$1:$G$49,MATCH(orders!$D577,products!$A$1:$A$49,0),MATCH(orders!K$1,products!$A$1:$G$1,0))</f>
        <v>Lib</v>
      </c>
      <c r="L577" t="str">
        <f>INDEX(products!$A$1:$G$49,MATCH(orders!$D577,products!$A$1:$A$49,0),MATCH(orders!L$1,products!$A$1:$G$1,0))</f>
        <v>M</v>
      </c>
      <c r="M577" s="14">
        <f>INDEX(products!$A$1:$G$49,MATCH(orders!$D577,products!$A$1:$A$49,0),MATCH(orders!M$1,products!$A$1:$G$1,0))</f>
        <v>2.5</v>
      </c>
      <c r="N577" s="4">
        <f>INDEX(products!$A$1:$G$49,MATCH(orders!$D577,products!$A$1:$A$49,0),MATCH(orders!N$1,products!$A$1:$G$1,0))</f>
        <v>33.464999999999996</v>
      </c>
      <c r="O577" s="13">
        <f t="shared" si="40"/>
        <v>66.929999999999993</v>
      </c>
      <c r="P577" s="13">
        <f>_xlfn.XLOOKUP(Orders[[#This Row],[Product ID]],products!$A$1:$A$49,products!$G$1:$G$49,,0)</f>
        <v>4.3504499999999995</v>
      </c>
      <c r="Q577" s="13">
        <f t="shared" si="41"/>
        <v>8.700899999999999</v>
      </c>
      <c r="R577" t="str">
        <f t="shared" si="43"/>
        <v>Liberica</v>
      </c>
      <c r="S577" t="str">
        <f t="shared" si="44"/>
        <v>Medium</v>
      </c>
      <c r="T577" t="str">
        <f>_xlfn.XLOOKUP(Orders[[#This Row],[Customer ID]],customers!$A$1:$A$1001,customers!$I$1:$I$1001,,0)</f>
        <v>No</v>
      </c>
    </row>
    <row r="578" spans="1:20" x14ac:dyDescent="0.35">
      <c r="A578" s="2" t="s">
        <v>3745</v>
      </c>
      <c r="B578" s="3">
        <v>44290</v>
      </c>
      <c r="C578" s="2" t="s">
        <v>3746</v>
      </c>
      <c r="D578" t="s">
        <v>6154</v>
      </c>
      <c r="E578" t="str">
        <f t="shared" si="42"/>
        <v>Arabica-Dark-0.2</v>
      </c>
      <c r="F578" s="2">
        <v>6</v>
      </c>
      <c r="G578" s="2" t="str" cm="1">
        <f t="array" ref="G578">_xlfn.XLOOKUP(C578, customers!$A$1:A1577,customers!$B$1:B1577,,0)</f>
        <v>Phyllys Ormerod</v>
      </c>
      <c r="H578" s="2" t="str" cm="1">
        <f t="array" ref="H578">IF(_xlfn.XLOOKUP(C578,customers!$A$1:A1577,customers!$C$1:C1577,,0) = 0,"", _xlfn.XLOOKUP(C578,customers!$A$1:A1577,customers!$C$1:C1577,,0))</f>
        <v>pormerodg0@redcross.org</v>
      </c>
      <c r="I578" s="2" t="str">
        <f>_xlfn.XLOOKUP(C578,customers!$A$1:$A$1001,customers!$G$1:$G$1001,,0)</f>
        <v>United States</v>
      </c>
      <c r="J578" s="2" t="str">
        <f>_xlfn.XLOOKUP(Orders[[#This Row],[Customer ID]],customers!$A$1:$A$1001,customers!$F$1:$F$1001,,0)</f>
        <v>Durham</v>
      </c>
      <c r="K578" t="str">
        <f>INDEX(products!$A$1:$G$49,MATCH(orders!$D578,products!$A$1:$A$49,0),MATCH(orders!K$1,products!$A$1:$G$1,0))</f>
        <v>Ara</v>
      </c>
      <c r="L578" t="str">
        <f>INDEX(products!$A$1:$G$49,MATCH(orders!$D578,products!$A$1:$A$49,0),MATCH(orders!L$1,products!$A$1:$G$1,0))</f>
        <v>D</v>
      </c>
      <c r="M578" s="14">
        <f>INDEX(products!$A$1:$G$49,MATCH(orders!$D578,products!$A$1:$A$49,0),MATCH(orders!M$1,products!$A$1:$G$1,0))</f>
        <v>0.2</v>
      </c>
      <c r="N578" s="4">
        <f>INDEX(products!$A$1:$G$49,MATCH(orders!$D578,products!$A$1:$A$49,0),MATCH(orders!N$1,products!$A$1:$G$1,0))</f>
        <v>2.9849999999999999</v>
      </c>
      <c r="O578" s="13">
        <f t="shared" ref="O578:O641" si="45">N578*F578</f>
        <v>17.91</v>
      </c>
      <c r="P578" s="13">
        <f>_xlfn.XLOOKUP(Orders[[#This Row],[Product ID]],products!$A$1:$A$49,products!$G$1:$G$49,,0)</f>
        <v>0.26865</v>
      </c>
      <c r="Q578" s="13">
        <f t="shared" ref="Q578:Q641" si="46">P578*F578</f>
        <v>1.6118999999999999</v>
      </c>
      <c r="R578" t="str">
        <f t="shared" si="43"/>
        <v>Arabica</v>
      </c>
      <c r="S578" t="str">
        <f t="shared" si="44"/>
        <v>Dark</v>
      </c>
      <c r="T578" t="str">
        <f>_xlfn.XLOOKUP(Orders[[#This Row],[Customer ID]],customers!$A$1:$A$1001,customers!$I$1:$I$1001,,0)</f>
        <v>No</v>
      </c>
    </row>
    <row r="579" spans="1:20" x14ac:dyDescent="0.35">
      <c r="A579" s="2" t="s">
        <v>3751</v>
      </c>
      <c r="B579" s="3">
        <v>44410</v>
      </c>
      <c r="C579" s="2" t="s">
        <v>3752</v>
      </c>
      <c r="D579" t="s">
        <v>6162</v>
      </c>
      <c r="E579" t="str">
        <f t="shared" ref="E579:E642" si="47">IF(LEFT(D579,1)="R", "Robusta",
    IF(LEFT(D579,1)="A", "Arabica",
        IF(LEFT(D579,1)="E", "Excelsa",
            IF(LEFT(D579,1)="L", "Liberica", "")
        )
    )
) &amp; "-" &amp;
IF(MID(D579,3,1)="D", "Dark",
    IF(MID(D579,3,1)="M", "Medium",
        IF(MID(D579,3,1)="L", "Light", "")
    )
) &amp; "-" &amp;
MID(D579,5,LEN(D579)-4)</f>
        <v>Liberica-Medium-1</v>
      </c>
      <c r="F579" s="2">
        <v>4</v>
      </c>
      <c r="G579" s="2" t="str" cm="1">
        <f t="array" ref="G579">_xlfn.XLOOKUP(C579, customers!$A$1:A1578,customers!$B$1:B1578,,0)</f>
        <v>Don Flintiff</v>
      </c>
      <c r="H579" s="2" t="str" cm="1">
        <f t="array" ref="H579">IF(_xlfn.XLOOKUP(C579,customers!$A$1:A1578,customers!$C$1:C1578,,0) = 0,"", _xlfn.XLOOKUP(C579,customers!$A$1:A1578,customers!$C$1:C1578,,0))</f>
        <v>dflintiffg1@e-recht24.de</v>
      </c>
      <c r="I579" s="2" t="str">
        <f>_xlfn.XLOOKUP(C579,customers!$A$1:$A$1001,customers!$G$1:$G$1001,,0)</f>
        <v>United Kingdom</v>
      </c>
      <c r="J579" s="2" t="str">
        <f>_xlfn.XLOOKUP(Orders[[#This Row],[Customer ID]],customers!$A$1:$A$1001,customers!$F$1:$F$1001,,0)</f>
        <v>London</v>
      </c>
      <c r="K579" t="str">
        <f>INDEX(products!$A$1:$G$49,MATCH(orders!$D579,products!$A$1:$A$49,0),MATCH(orders!K$1,products!$A$1:$G$1,0))</f>
        <v>Lib</v>
      </c>
      <c r="L579" t="str">
        <f>INDEX(products!$A$1:$G$49,MATCH(orders!$D579,products!$A$1:$A$49,0),MATCH(orders!L$1,products!$A$1:$G$1,0))</f>
        <v>M</v>
      </c>
      <c r="M579" s="14">
        <f>INDEX(products!$A$1:$G$49,MATCH(orders!$D579,products!$A$1:$A$49,0),MATCH(orders!M$1,products!$A$1:$G$1,0))</f>
        <v>1</v>
      </c>
      <c r="N579" s="4">
        <f>INDEX(products!$A$1:$G$49,MATCH(orders!$D579,products!$A$1:$A$49,0),MATCH(orders!N$1,products!$A$1:$G$1,0))</f>
        <v>14.55</v>
      </c>
      <c r="O579" s="13">
        <f t="shared" si="45"/>
        <v>58.2</v>
      </c>
      <c r="P579" s="13">
        <f>_xlfn.XLOOKUP(Orders[[#This Row],[Product ID]],products!$A$1:$A$49,products!$G$1:$G$49,,0)</f>
        <v>1.8915000000000002</v>
      </c>
      <c r="Q579" s="13">
        <f t="shared" si="46"/>
        <v>7.5660000000000007</v>
      </c>
      <c r="R579" t="str">
        <f t="shared" ref="R579:R642" si="48">IF(K579="Rob","Robusta",IF(K579="Exc","Execelsa",IF(K579="Ara","Arabica",IF(K579="Lib","Liberica",""))))</f>
        <v>Liberica</v>
      </c>
      <c r="S579" t="str">
        <f t="shared" ref="S579:S642" si="49" xml:space="preserve"> IF(L579="M", "Medium", IF(L579="L","Light",IF(L579="D","Dark","")))</f>
        <v>Medium</v>
      </c>
      <c r="T579" t="str">
        <f>_xlfn.XLOOKUP(Orders[[#This Row],[Customer ID]],customers!$A$1:$A$1001,customers!$I$1:$I$1001,,0)</f>
        <v>No</v>
      </c>
    </row>
    <row r="580" spans="1:20" x14ac:dyDescent="0.35">
      <c r="A580" s="2" t="s">
        <v>3756</v>
      </c>
      <c r="B580" s="3">
        <v>44720</v>
      </c>
      <c r="C580" s="2" t="s">
        <v>3757</v>
      </c>
      <c r="D580" t="s">
        <v>6184</v>
      </c>
      <c r="E580" t="str">
        <f t="shared" si="47"/>
        <v>Excelsa-Light-0.2</v>
      </c>
      <c r="F580" s="2">
        <v>3</v>
      </c>
      <c r="G580" s="2" t="str" cm="1">
        <f t="array" ref="G580">_xlfn.XLOOKUP(C580, customers!$A$1:A1579,customers!$B$1:B1579,,0)</f>
        <v>Tymon Zanetti</v>
      </c>
      <c r="H580" s="2" t="str" cm="1">
        <f t="array" ref="H580">IF(_xlfn.XLOOKUP(C580,customers!$A$1:A1579,customers!$C$1:C1579,,0) = 0,"", _xlfn.XLOOKUP(C580,customers!$A$1:A1579,customers!$C$1:C1579,,0))</f>
        <v>tzanettig2@gravatar.com</v>
      </c>
      <c r="I580" s="2" t="str">
        <f>_xlfn.XLOOKUP(C580,customers!$A$1:$A$1001,customers!$G$1:$G$1001,,0)</f>
        <v>Ireland</v>
      </c>
      <c r="J580" s="2" t="str">
        <f>_xlfn.XLOOKUP(Orders[[#This Row],[Customer ID]],customers!$A$1:$A$1001,customers!$F$1:$F$1001,,0)</f>
        <v>Loughrea</v>
      </c>
      <c r="K580" t="str">
        <f>INDEX(products!$A$1:$G$49,MATCH(orders!$D580,products!$A$1:$A$49,0),MATCH(orders!K$1,products!$A$1:$G$1,0))</f>
        <v>Exc</v>
      </c>
      <c r="L580" t="str">
        <f>INDEX(products!$A$1:$G$49,MATCH(orders!$D580,products!$A$1:$A$49,0),MATCH(orders!L$1,products!$A$1:$G$1,0))</f>
        <v>L</v>
      </c>
      <c r="M580" s="14">
        <f>INDEX(products!$A$1:$G$49,MATCH(orders!$D580,products!$A$1:$A$49,0),MATCH(orders!M$1,products!$A$1:$G$1,0))</f>
        <v>0.2</v>
      </c>
      <c r="N580" s="4">
        <f>INDEX(products!$A$1:$G$49,MATCH(orders!$D580,products!$A$1:$A$49,0),MATCH(orders!N$1,products!$A$1:$G$1,0))</f>
        <v>4.4550000000000001</v>
      </c>
      <c r="O580" s="13">
        <f t="shared" si="45"/>
        <v>13.365</v>
      </c>
      <c r="P580" s="13">
        <f>_xlfn.XLOOKUP(Orders[[#This Row],[Product ID]],products!$A$1:$A$49,products!$G$1:$G$49,,0)</f>
        <v>0.49004999999999999</v>
      </c>
      <c r="Q580" s="13">
        <f t="shared" si="46"/>
        <v>1.4701499999999998</v>
      </c>
      <c r="R580" t="str">
        <f t="shared" si="48"/>
        <v>Execelsa</v>
      </c>
      <c r="S580" t="str">
        <f t="shared" si="49"/>
        <v>Light</v>
      </c>
      <c r="T580" t="str">
        <f>_xlfn.XLOOKUP(Orders[[#This Row],[Customer ID]],customers!$A$1:$A$1001,customers!$I$1:$I$1001,,0)</f>
        <v>No</v>
      </c>
    </row>
    <row r="581" spans="1:20" x14ac:dyDescent="0.35">
      <c r="A581" s="2" t="s">
        <v>3756</v>
      </c>
      <c r="B581" s="3">
        <v>44720</v>
      </c>
      <c r="C581" s="2" t="s">
        <v>3757</v>
      </c>
      <c r="D581" t="s">
        <v>6157</v>
      </c>
      <c r="E581" t="str">
        <f t="shared" si="47"/>
        <v>Arabica-Medium-0.5</v>
      </c>
      <c r="F581" s="2">
        <v>5</v>
      </c>
      <c r="G581" s="2" t="str" cm="1">
        <f t="array" ref="G581">_xlfn.XLOOKUP(C581, customers!$A$1:A1580,customers!$B$1:B1580,,0)</f>
        <v>Tymon Zanetti</v>
      </c>
      <c r="H581" s="2" t="str" cm="1">
        <f t="array" ref="H581">IF(_xlfn.XLOOKUP(C581,customers!$A$1:A1580,customers!$C$1:C1580,,0) = 0,"", _xlfn.XLOOKUP(C581,customers!$A$1:A1580,customers!$C$1:C1580,,0))</f>
        <v>tzanettig2@gravatar.com</v>
      </c>
      <c r="I581" s="2" t="str">
        <f>_xlfn.XLOOKUP(C581,customers!$A$1:$A$1001,customers!$G$1:$G$1001,,0)</f>
        <v>Ireland</v>
      </c>
      <c r="J581" s="2" t="str">
        <f>_xlfn.XLOOKUP(Orders[[#This Row],[Customer ID]],customers!$A$1:$A$1001,customers!$F$1:$F$1001,,0)</f>
        <v>Loughrea</v>
      </c>
      <c r="K581" t="str">
        <f>INDEX(products!$A$1:$G$49,MATCH(orders!$D581,products!$A$1:$A$49,0),MATCH(orders!K$1,products!$A$1:$G$1,0))</f>
        <v>Ara</v>
      </c>
      <c r="L581" t="str">
        <f>INDEX(products!$A$1:$G$49,MATCH(orders!$D581,products!$A$1:$A$49,0),MATCH(orders!L$1,products!$A$1:$G$1,0))</f>
        <v>M</v>
      </c>
      <c r="M581" s="14">
        <f>INDEX(products!$A$1:$G$49,MATCH(orders!$D581,products!$A$1:$A$49,0),MATCH(orders!M$1,products!$A$1:$G$1,0))</f>
        <v>0.5</v>
      </c>
      <c r="N581" s="4">
        <f>INDEX(products!$A$1:$G$49,MATCH(orders!$D581,products!$A$1:$A$49,0),MATCH(orders!N$1,products!$A$1:$G$1,0))</f>
        <v>6.75</v>
      </c>
      <c r="O581" s="13">
        <f t="shared" si="45"/>
        <v>33.75</v>
      </c>
      <c r="P581" s="13">
        <f>_xlfn.XLOOKUP(Orders[[#This Row],[Product ID]],products!$A$1:$A$49,products!$G$1:$G$49,,0)</f>
        <v>0.60749999999999993</v>
      </c>
      <c r="Q581" s="13">
        <f t="shared" si="46"/>
        <v>3.0374999999999996</v>
      </c>
      <c r="R581" t="str">
        <f t="shared" si="48"/>
        <v>Arabica</v>
      </c>
      <c r="S581" t="str">
        <f t="shared" si="49"/>
        <v>Medium</v>
      </c>
      <c r="T581" t="str">
        <f>_xlfn.XLOOKUP(Orders[[#This Row],[Customer ID]],customers!$A$1:$A$1001,customers!$I$1:$I$1001,,0)</f>
        <v>No</v>
      </c>
    </row>
    <row r="582" spans="1:20" x14ac:dyDescent="0.35">
      <c r="A582" s="2" t="s">
        <v>3767</v>
      </c>
      <c r="B582" s="3">
        <v>43965</v>
      </c>
      <c r="C582" s="2" t="s">
        <v>3768</v>
      </c>
      <c r="D582" t="s">
        <v>6171</v>
      </c>
      <c r="E582" t="str">
        <f t="shared" si="47"/>
        <v>Excelsa-Light-1</v>
      </c>
      <c r="F582" s="2">
        <v>3</v>
      </c>
      <c r="G582" s="2" t="str" cm="1">
        <f t="array" ref="G582">_xlfn.XLOOKUP(C582, customers!$A$1:A1581,customers!$B$1:B1581,,0)</f>
        <v>Reinaldos Kirtley</v>
      </c>
      <c r="H582" s="2" t="str" cm="1">
        <f t="array" ref="H582">IF(_xlfn.XLOOKUP(C582,customers!$A$1:A1581,customers!$C$1:C1581,,0) = 0,"", _xlfn.XLOOKUP(C582,customers!$A$1:A1581,customers!$C$1:C1581,,0))</f>
        <v>rkirtleyg4@hatena.ne.jp</v>
      </c>
      <c r="I582" s="2" t="str">
        <f>_xlfn.XLOOKUP(C582,customers!$A$1:$A$1001,customers!$G$1:$G$1001,,0)</f>
        <v>United States</v>
      </c>
      <c r="J582" s="2" t="str">
        <f>_xlfn.XLOOKUP(Orders[[#This Row],[Customer ID]],customers!$A$1:$A$1001,customers!$F$1:$F$1001,,0)</f>
        <v>Whittier</v>
      </c>
      <c r="K582" t="str">
        <f>INDEX(products!$A$1:$G$49,MATCH(orders!$D582,products!$A$1:$A$49,0),MATCH(orders!K$1,products!$A$1:$G$1,0))</f>
        <v>Exc</v>
      </c>
      <c r="L582" t="str">
        <f>INDEX(products!$A$1:$G$49,MATCH(orders!$D582,products!$A$1:$A$49,0),MATCH(orders!L$1,products!$A$1:$G$1,0))</f>
        <v>L</v>
      </c>
      <c r="M582" s="14">
        <f>INDEX(products!$A$1:$G$49,MATCH(orders!$D582,products!$A$1:$A$49,0),MATCH(orders!M$1,products!$A$1:$G$1,0))</f>
        <v>1</v>
      </c>
      <c r="N582" s="4">
        <f>INDEX(products!$A$1:$G$49,MATCH(orders!$D582,products!$A$1:$A$49,0),MATCH(orders!N$1,products!$A$1:$G$1,0))</f>
        <v>14.85</v>
      </c>
      <c r="O582" s="13">
        <f t="shared" si="45"/>
        <v>44.55</v>
      </c>
      <c r="P582" s="13">
        <f>_xlfn.XLOOKUP(Orders[[#This Row],[Product ID]],products!$A$1:$A$49,products!$G$1:$G$49,,0)</f>
        <v>1.6335</v>
      </c>
      <c r="Q582" s="13">
        <f t="shared" si="46"/>
        <v>4.9005000000000001</v>
      </c>
      <c r="R582" t="str">
        <f t="shared" si="48"/>
        <v>Execelsa</v>
      </c>
      <c r="S582" t="str">
        <f t="shared" si="49"/>
        <v>Light</v>
      </c>
      <c r="T582" t="str">
        <f>_xlfn.XLOOKUP(Orders[[#This Row],[Customer ID]],customers!$A$1:$A$1001,customers!$I$1:$I$1001,,0)</f>
        <v>Yes</v>
      </c>
    </row>
    <row r="583" spans="1:20" x14ac:dyDescent="0.35">
      <c r="A583" s="2" t="s">
        <v>3773</v>
      </c>
      <c r="B583" s="3">
        <v>44190</v>
      </c>
      <c r="C583" s="2" t="s">
        <v>3774</v>
      </c>
      <c r="D583" t="s">
        <v>6176</v>
      </c>
      <c r="E583" t="str">
        <f t="shared" si="47"/>
        <v>Excelsa-Light-0.5</v>
      </c>
      <c r="F583" s="2">
        <v>5</v>
      </c>
      <c r="G583" s="2" t="str" cm="1">
        <f t="array" ref="G583">_xlfn.XLOOKUP(C583, customers!$A$1:A1582,customers!$B$1:B1582,,0)</f>
        <v>Carney Clemencet</v>
      </c>
      <c r="H583" s="2" t="str" cm="1">
        <f t="array" ref="H583">IF(_xlfn.XLOOKUP(C583,customers!$A$1:A1582,customers!$C$1:C1582,,0) = 0,"", _xlfn.XLOOKUP(C583,customers!$A$1:A1582,customers!$C$1:C1582,,0))</f>
        <v>cclemencetg5@weather.com</v>
      </c>
      <c r="I583" s="2" t="str">
        <f>_xlfn.XLOOKUP(C583,customers!$A$1:$A$1001,customers!$G$1:$G$1001,,0)</f>
        <v>United Kingdom</v>
      </c>
      <c r="J583" s="2" t="str">
        <f>_xlfn.XLOOKUP(Orders[[#This Row],[Customer ID]],customers!$A$1:$A$1001,customers!$F$1:$F$1001,,0)</f>
        <v>Birmingham</v>
      </c>
      <c r="K583" t="str">
        <f>INDEX(products!$A$1:$G$49,MATCH(orders!$D583,products!$A$1:$A$49,0),MATCH(orders!K$1,products!$A$1:$G$1,0))</f>
        <v>Exc</v>
      </c>
      <c r="L583" t="str">
        <f>INDEX(products!$A$1:$G$49,MATCH(orders!$D583,products!$A$1:$A$49,0),MATCH(orders!L$1,products!$A$1:$G$1,0))</f>
        <v>L</v>
      </c>
      <c r="M583" s="14">
        <f>INDEX(products!$A$1:$G$49,MATCH(orders!$D583,products!$A$1:$A$49,0),MATCH(orders!M$1,products!$A$1:$G$1,0))</f>
        <v>0.5</v>
      </c>
      <c r="N583" s="4">
        <f>INDEX(products!$A$1:$G$49,MATCH(orders!$D583,products!$A$1:$A$49,0),MATCH(orders!N$1,products!$A$1:$G$1,0))</f>
        <v>8.91</v>
      </c>
      <c r="O583" s="13">
        <f t="shared" si="45"/>
        <v>44.55</v>
      </c>
      <c r="P583" s="13">
        <f>_xlfn.XLOOKUP(Orders[[#This Row],[Product ID]],products!$A$1:$A$49,products!$G$1:$G$49,,0)</f>
        <v>0.98009999999999997</v>
      </c>
      <c r="Q583" s="13">
        <f t="shared" si="46"/>
        <v>4.9005000000000001</v>
      </c>
      <c r="R583" t="str">
        <f t="shared" si="48"/>
        <v>Execelsa</v>
      </c>
      <c r="S583" t="str">
        <f t="shared" si="49"/>
        <v>Light</v>
      </c>
      <c r="T583" t="str">
        <f>_xlfn.XLOOKUP(Orders[[#This Row],[Customer ID]],customers!$A$1:$A$1001,customers!$I$1:$I$1001,,0)</f>
        <v>Yes</v>
      </c>
    </row>
    <row r="584" spans="1:20" x14ac:dyDescent="0.35">
      <c r="A584" s="2" t="s">
        <v>3778</v>
      </c>
      <c r="B584" s="3">
        <v>44382</v>
      </c>
      <c r="C584" s="2" t="s">
        <v>3779</v>
      </c>
      <c r="D584" t="s">
        <v>6183</v>
      </c>
      <c r="E584" t="str">
        <f t="shared" si="47"/>
        <v>Excelsa-Dark-1</v>
      </c>
      <c r="F584" s="2">
        <v>5</v>
      </c>
      <c r="G584" s="2" t="str" cm="1">
        <f t="array" ref="G584">_xlfn.XLOOKUP(C584, customers!$A$1:A1583,customers!$B$1:B1583,,0)</f>
        <v>Russell Donet</v>
      </c>
      <c r="H584" s="2" t="str" cm="1">
        <f t="array" ref="H584">IF(_xlfn.XLOOKUP(C584,customers!$A$1:A1583,customers!$C$1:C1583,,0) = 0,"", _xlfn.XLOOKUP(C584,customers!$A$1:A1583,customers!$C$1:C1583,,0))</f>
        <v>rdonetg6@oakley.com</v>
      </c>
      <c r="I584" s="2" t="str">
        <f>_xlfn.XLOOKUP(C584,customers!$A$1:$A$1001,customers!$G$1:$G$1001,,0)</f>
        <v>United States</v>
      </c>
      <c r="J584" s="2" t="str">
        <f>_xlfn.XLOOKUP(Orders[[#This Row],[Customer ID]],customers!$A$1:$A$1001,customers!$F$1:$F$1001,,0)</f>
        <v>Richmond</v>
      </c>
      <c r="K584" t="str">
        <f>INDEX(products!$A$1:$G$49,MATCH(orders!$D584,products!$A$1:$A$49,0),MATCH(orders!K$1,products!$A$1:$G$1,0))</f>
        <v>Exc</v>
      </c>
      <c r="L584" t="str">
        <f>INDEX(products!$A$1:$G$49,MATCH(orders!$D584,products!$A$1:$A$49,0),MATCH(orders!L$1,products!$A$1:$G$1,0))</f>
        <v>D</v>
      </c>
      <c r="M584" s="14">
        <f>INDEX(products!$A$1:$G$49,MATCH(orders!$D584,products!$A$1:$A$49,0),MATCH(orders!M$1,products!$A$1:$G$1,0))</f>
        <v>1</v>
      </c>
      <c r="N584" s="4">
        <f>INDEX(products!$A$1:$G$49,MATCH(orders!$D584,products!$A$1:$A$49,0),MATCH(orders!N$1,products!$A$1:$G$1,0))</f>
        <v>12.15</v>
      </c>
      <c r="O584" s="13">
        <f t="shared" si="45"/>
        <v>60.75</v>
      </c>
      <c r="P584" s="13">
        <f>_xlfn.XLOOKUP(Orders[[#This Row],[Product ID]],products!$A$1:$A$49,products!$G$1:$G$49,,0)</f>
        <v>1.3365</v>
      </c>
      <c r="Q584" s="13">
        <f t="shared" si="46"/>
        <v>6.6825000000000001</v>
      </c>
      <c r="R584" t="str">
        <f t="shared" si="48"/>
        <v>Execelsa</v>
      </c>
      <c r="S584" t="str">
        <f t="shared" si="49"/>
        <v>Dark</v>
      </c>
      <c r="T584" t="str">
        <f>_xlfn.XLOOKUP(Orders[[#This Row],[Customer ID]],customers!$A$1:$A$1001,customers!$I$1:$I$1001,,0)</f>
        <v>No</v>
      </c>
    </row>
    <row r="585" spans="1:20" x14ac:dyDescent="0.35">
      <c r="A585" s="2" t="s">
        <v>3784</v>
      </c>
      <c r="B585" s="3">
        <v>43538</v>
      </c>
      <c r="C585" s="2" t="s">
        <v>3785</v>
      </c>
      <c r="D585" t="s">
        <v>6178</v>
      </c>
      <c r="E585" t="str">
        <f t="shared" si="47"/>
        <v>Robusta-Light-0.2</v>
      </c>
      <c r="F585" s="2">
        <v>1</v>
      </c>
      <c r="G585" s="2" t="str" cm="1">
        <f t="array" ref="G585">_xlfn.XLOOKUP(C585, customers!$A$1:A1584,customers!$B$1:B1584,,0)</f>
        <v>Sidney Gawen</v>
      </c>
      <c r="H585" s="2" t="str" cm="1">
        <f t="array" ref="H585">IF(_xlfn.XLOOKUP(C585,customers!$A$1:A1584,customers!$C$1:C1584,,0) = 0,"", _xlfn.XLOOKUP(C585,customers!$A$1:A1584,customers!$C$1:C1584,,0))</f>
        <v>sgaweng7@creativecommons.org</v>
      </c>
      <c r="I585" s="2" t="str">
        <f>_xlfn.XLOOKUP(C585,customers!$A$1:$A$1001,customers!$G$1:$G$1001,,0)</f>
        <v>United States</v>
      </c>
      <c r="J585" s="2" t="str">
        <f>_xlfn.XLOOKUP(Orders[[#This Row],[Customer ID]],customers!$A$1:$A$1001,customers!$F$1:$F$1001,,0)</f>
        <v>Sterling</v>
      </c>
      <c r="K585" t="str">
        <f>INDEX(products!$A$1:$G$49,MATCH(orders!$D585,products!$A$1:$A$49,0),MATCH(orders!K$1,products!$A$1:$G$1,0))</f>
        <v>Rob</v>
      </c>
      <c r="L585" t="str">
        <f>INDEX(products!$A$1:$G$49,MATCH(orders!$D585,products!$A$1:$A$49,0),MATCH(orders!L$1,products!$A$1:$G$1,0))</f>
        <v>L</v>
      </c>
      <c r="M585" s="14">
        <f>INDEX(products!$A$1:$G$49,MATCH(orders!$D585,products!$A$1:$A$49,0),MATCH(orders!M$1,products!$A$1:$G$1,0))</f>
        <v>0.2</v>
      </c>
      <c r="N585" s="4">
        <f>INDEX(products!$A$1:$G$49,MATCH(orders!$D585,products!$A$1:$A$49,0),MATCH(orders!N$1,products!$A$1:$G$1,0))</f>
        <v>3.5849999999999995</v>
      </c>
      <c r="O585" s="13">
        <f t="shared" si="45"/>
        <v>3.5849999999999995</v>
      </c>
      <c r="P585" s="13">
        <f>_xlfn.XLOOKUP(Orders[[#This Row],[Product ID]],products!$A$1:$A$49,products!$G$1:$G$49,,0)</f>
        <v>0.21509999999999996</v>
      </c>
      <c r="Q585" s="13">
        <f t="shared" si="46"/>
        <v>0.21509999999999996</v>
      </c>
      <c r="R585" t="str">
        <f t="shared" si="48"/>
        <v>Robusta</v>
      </c>
      <c r="S585" t="str">
        <f t="shared" si="49"/>
        <v>Light</v>
      </c>
      <c r="T585" t="str">
        <f>_xlfn.XLOOKUP(Orders[[#This Row],[Customer ID]],customers!$A$1:$A$1001,customers!$I$1:$I$1001,,0)</f>
        <v>Yes</v>
      </c>
    </row>
    <row r="586" spans="1:20" x14ac:dyDescent="0.35">
      <c r="A586" s="2" t="s">
        <v>3790</v>
      </c>
      <c r="B586" s="3">
        <v>44262</v>
      </c>
      <c r="C586" s="2" t="s">
        <v>3791</v>
      </c>
      <c r="D586" t="s">
        <v>6178</v>
      </c>
      <c r="E586" t="str">
        <f t="shared" si="47"/>
        <v>Robusta-Light-0.2</v>
      </c>
      <c r="F586" s="2">
        <v>6</v>
      </c>
      <c r="G586" s="2" t="str" cm="1">
        <f t="array" ref="G586">_xlfn.XLOOKUP(C586, customers!$A$1:A1585,customers!$B$1:B1585,,0)</f>
        <v>Rickey Readie</v>
      </c>
      <c r="H586" s="2" t="str" cm="1">
        <f t="array" ref="H586">IF(_xlfn.XLOOKUP(C586,customers!$A$1:A1585,customers!$C$1:C1585,,0) = 0,"", _xlfn.XLOOKUP(C586,customers!$A$1:A1585,customers!$C$1:C1585,,0))</f>
        <v>rreadieg8@guardian.co.uk</v>
      </c>
      <c r="I586" s="2" t="str">
        <f>_xlfn.XLOOKUP(C586,customers!$A$1:$A$1001,customers!$G$1:$G$1001,,0)</f>
        <v>United States</v>
      </c>
      <c r="J586" s="2" t="str">
        <f>_xlfn.XLOOKUP(Orders[[#This Row],[Customer ID]],customers!$A$1:$A$1001,customers!$F$1:$F$1001,,0)</f>
        <v>Carson City</v>
      </c>
      <c r="K586" t="str">
        <f>INDEX(products!$A$1:$G$49,MATCH(orders!$D586,products!$A$1:$A$49,0),MATCH(orders!K$1,products!$A$1:$G$1,0))</f>
        <v>Rob</v>
      </c>
      <c r="L586" t="str">
        <f>INDEX(products!$A$1:$G$49,MATCH(orders!$D586,products!$A$1:$A$49,0),MATCH(orders!L$1,products!$A$1:$G$1,0))</f>
        <v>L</v>
      </c>
      <c r="M586" s="14">
        <f>INDEX(products!$A$1:$G$49,MATCH(orders!$D586,products!$A$1:$A$49,0),MATCH(orders!M$1,products!$A$1:$G$1,0))</f>
        <v>0.2</v>
      </c>
      <c r="N586" s="4">
        <f>INDEX(products!$A$1:$G$49,MATCH(orders!$D586,products!$A$1:$A$49,0),MATCH(orders!N$1,products!$A$1:$G$1,0))</f>
        <v>3.5849999999999995</v>
      </c>
      <c r="O586" s="13">
        <f t="shared" si="45"/>
        <v>21.509999999999998</v>
      </c>
      <c r="P586" s="13">
        <f>_xlfn.XLOOKUP(Orders[[#This Row],[Product ID]],products!$A$1:$A$49,products!$G$1:$G$49,,0)</f>
        <v>0.21509999999999996</v>
      </c>
      <c r="Q586" s="13">
        <f t="shared" si="46"/>
        <v>1.2905999999999997</v>
      </c>
      <c r="R586" t="str">
        <f t="shared" si="48"/>
        <v>Robusta</v>
      </c>
      <c r="S586" t="str">
        <f t="shared" si="49"/>
        <v>Light</v>
      </c>
      <c r="T586" t="str">
        <f>_xlfn.XLOOKUP(Orders[[#This Row],[Customer ID]],customers!$A$1:$A$1001,customers!$I$1:$I$1001,,0)</f>
        <v>No</v>
      </c>
    </row>
    <row r="587" spans="1:20" x14ac:dyDescent="0.35">
      <c r="A587" s="2" t="s">
        <v>3796</v>
      </c>
      <c r="B587" s="3">
        <v>44505</v>
      </c>
      <c r="C587" s="2" t="s">
        <v>3840</v>
      </c>
      <c r="D587" t="s">
        <v>6139</v>
      </c>
      <c r="E587" t="str">
        <f t="shared" si="47"/>
        <v>Excelsa-Medium-0.5</v>
      </c>
      <c r="F587" s="2">
        <v>2</v>
      </c>
      <c r="G587" s="2" t="str" cm="1">
        <f t="array" ref="G587">_xlfn.XLOOKUP(C587, customers!$A$1:A1586,customers!$B$1:B1586,,0)</f>
        <v>Cody Verissimo</v>
      </c>
      <c r="H587" s="2" t="str" cm="1">
        <f t="array" ref="H587">IF(_xlfn.XLOOKUP(C587,customers!$A$1:A1586,customers!$C$1:C1586,,0) = 0,"", _xlfn.XLOOKUP(C587,customers!$A$1:A1586,customers!$C$1:C1586,,0))</f>
        <v>cverissimogh@theglobeandmail.com</v>
      </c>
      <c r="I587" s="2" t="str">
        <f>_xlfn.XLOOKUP(C587,customers!$A$1:$A$1001,customers!$G$1:$G$1001,,0)</f>
        <v>United Kingdom</v>
      </c>
      <c r="J587" s="2" t="str">
        <f>_xlfn.XLOOKUP(Orders[[#This Row],[Customer ID]],customers!$A$1:$A$1001,customers!$F$1:$F$1001,,0)</f>
        <v>Upton</v>
      </c>
      <c r="K587" t="str">
        <f>INDEX(products!$A$1:$G$49,MATCH(orders!$D587,products!$A$1:$A$49,0),MATCH(orders!K$1,products!$A$1:$G$1,0))</f>
        <v>Exc</v>
      </c>
      <c r="L587" t="str">
        <f>INDEX(products!$A$1:$G$49,MATCH(orders!$D587,products!$A$1:$A$49,0),MATCH(orders!L$1,products!$A$1:$G$1,0))</f>
        <v>M</v>
      </c>
      <c r="M587" s="14">
        <f>INDEX(products!$A$1:$G$49,MATCH(orders!$D587,products!$A$1:$A$49,0),MATCH(orders!M$1,products!$A$1:$G$1,0))</f>
        <v>0.5</v>
      </c>
      <c r="N587" s="4">
        <f>INDEX(products!$A$1:$G$49,MATCH(orders!$D587,products!$A$1:$A$49,0),MATCH(orders!N$1,products!$A$1:$G$1,0))</f>
        <v>8.25</v>
      </c>
      <c r="O587" s="13">
        <f t="shared" si="45"/>
        <v>16.5</v>
      </c>
      <c r="P587" s="13">
        <f>_xlfn.XLOOKUP(Orders[[#This Row],[Product ID]],products!$A$1:$A$49,products!$G$1:$G$49,,0)</f>
        <v>0.90749999999999997</v>
      </c>
      <c r="Q587" s="13">
        <f t="shared" si="46"/>
        <v>1.8149999999999999</v>
      </c>
      <c r="R587" t="str">
        <f t="shared" si="48"/>
        <v>Execelsa</v>
      </c>
      <c r="S587" t="str">
        <f t="shared" si="49"/>
        <v>Medium</v>
      </c>
      <c r="T587" t="str">
        <f>_xlfn.XLOOKUP(Orders[[#This Row],[Customer ID]],customers!$A$1:$A$1001,customers!$I$1:$I$1001,,0)</f>
        <v>Yes</v>
      </c>
    </row>
    <row r="588" spans="1:20" x14ac:dyDescent="0.35">
      <c r="A588" s="2" t="s">
        <v>3802</v>
      </c>
      <c r="B588" s="3">
        <v>43867</v>
      </c>
      <c r="C588" s="2" t="s">
        <v>3803</v>
      </c>
      <c r="D588" t="s">
        <v>6142</v>
      </c>
      <c r="E588" t="str">
        <f t="shared" si="47"/>
        <v>Robusta-Light-2.5</v>
      </c>
      <c r="F588" s="2">
        <v>3</v>
      </c>
      <c r="G588" s="2" t="str" cm="1">
        <f t="array" ref="G588">_xlfn.XLOOKUP(C588, customers!$A$1:A1587,customers!$B$1:B1587,,0)</f>
        <v>Zilvia Claisse</v>
      </c>
      <c r="H588" s="2" t="str" cm="1">
        <f t="array" ref="H588">IF(_xlfn.XLOOKUP(C588,customers!$A$1:A1587,customers!$C$1:C1587,,0) = 0,"", _xlfn.XLOOKUP(C588,customers!$A$1:A1587,customers!$C$1:C1587,,0))</f>
        <v/>
      </c>
      <c r="I588" s="2" t="str">
        <f>_xlfn.XLOOKUP(C588,customers!$A$1:$A$1001,customers!$G$1:$G$1001,,0)</f>
        <v>United States</v>
      </c>
      <c r="J588" s="2" t="str">
        <f>_xlfn.XLOOKUP(Orders[[#This Row],[Customer ID]],customers!$A$1:$A$1001,customers!$F$1:$F$1001,,0)</f>
        <v>Saint Paul</v>
      </c>
      <c r="K588" t="str">
        <f>INDEX(products!$A$1:$G$49,MATCH(orders!$D588,products!$A$1:$A$49,0),MATCH(orders!K$1,products!$A$1:$G$1,0))</f>
        <v>Rob</v>
      </c>
      <c r="L588" t="str">
        <f>INDEX(products!$A$1:$G$49,MATCH(orders!$D588,products!$A$1:$A$49,0),MATCH(orders!L$1,products!$A$1:$G$1,0))</f>
        <v>L</v>
      </c>
      <c r="M588" s="14">
        <f>INDEX(products!$A$1:$G$49,MATCH(orders!$D588,products!$A$1:$A$49,0),MATCH(orders!M$1,products!$A$1:$G$1,0))</f>
        <v>2.5</v>
      </c>
      <c r="N588" s="4">
        <f>INDEX(products!$A$1:$G$49,MATCH(orders!$D588,products!$A$1:$A$49,0),MATCH(orders!N$1,products!$A$1:$G$1,0))</f>
        <v>27.484999999999996</v>
      </c>
      <c r="O588" s="13">
        <f t="shared" si="45"/>
        <v>82.454999999999984</v>
      </c>
      <c r="P588" s="13">
        <f>_xlfn.XLOOKUP(Orders[[#This Row],[Product ID]],products!$A$1:$A$49,products!$G$1:$G$49,,0)</f>
        <v>1.6490999999999998</v>
      </c>
      <c r="Q588" s="13">
        <f t="shared" si="46"/>
        <v>4.9472999999999994</v>
      </c>
      <c r="R588" t="str">
        <f t="shared" si="48"/>
        <v>Robusta</v>
      </c>
      <c r="S588" t="str">
        <f t="shared" si="49"/>
        <v>Light</v>
      </c>
      <c r="T588" t="str">
        <f>_xlfn.XLOOKUP(Orders[[#This Row],[Customer ID]],customers!$A$1:$A$1001,customers!$I$1:$I$1001,,0)</f>
        <v>No</v>
      </c>
    </row>
    <row r="589" spans="1:20" x14ac:dyDescent="0.35">
      <c r="A589" s="2" t="s">
        <v>3807</v>
      </c>
      <c r="B589" s="3">
        <v>44267</v>
      </c>
      <c r="C589" s="2" t="s">
        <v>3808</v>
      </c>
      <c r="D589" t="s">
        <v>6169</v>
      </c>
      <c r="E589" t="str">
        <f t="shared" si="47"/>
        <v>Liberica-Dark-0.5</v>
      </c>
      <c r="F589" s="2">
        <v>1</v>
      </c>
      <c r="G589" s="2" t="str" cm="1">
        <f t="array" ref="G589">_xlfn.XLOOKUP(C589, customers!$A$1:A1588,customers!$B$1:B1588,,0)</f>
        <v>Bar O' Mahony</v>
      </c>
      <c r="H589" s="2" t="str" cm="1">
        <f t="array" ref="H589">IF(_xlfn.XLOOKUP(C589,customers!$A$1:A1588,customers!$C$1:C1588,,0) = 0,"", _xlfn.XLOOKUP(C589,customers!$A$1:A1588,customers!$C$1:C1588,,0))</f>
        <v>bogb@elpais.com</v>
      </c>
      <c r="I589" s="2" t="str">
        <f>_xlfn.XLOOKUP(C589,customers!$A$1:$A$1001,customers!$G$1:$G$1001,,0)</f>
        <v>United States</v>
      </c>
      <c r="J589" s="2" t="str">
        <f>_xlfn.XLOOKUP(Orders[[#This Row],[Customer ID]],customers!$A$1:$A$1001,customers!$F$1:$F$1001,,0)</f>
        <v>Huntsville</v>
      </c>
      <c r="K589" t="str">
        <f>INDEX(products!$A$1:$G$49,MATCH(orders!$D589,products!$A$1:$A$49,0),MATCH(orders!K$1,products!$A$1:$G$1,0))</f>
        <v>Lib</v>
      </c>
      <c r="L589" t="str">
        <f>INDEX(products!$A$1:$G$49,MATCH(orders!$D589,products!$A$1:$A$49,0),MATCH(orders!L$1,products!$A$1:$G$1,0))</f>
        <v>D</v>
      </c>
      <c r="M589" s="14">
        <f>INDEX(products!$A$1:$G$49,MATCH(orders!$D589,products!$A$1:$A$49,0),MATCH(orders!M$1,products!$A$1:$G$1,0))</f>
        <v>0.5</v>
      </c>
      <c r="N589" s="4">
        <f>INDEX(products!$A$1:$G$49,MATCH(orders!$D589,products!$A$1:$A$49,0),MATCH(orders!N$1,products!$A$1:$G$1,0))</f>
        <v>7.77</v>
      </c>
      <c r="O589" s="13">
        <f t="shared" si="45"/>
        <v>7.77</v>
      </c>
      <c r="P589" s="13">
        <f>_xlfn.XLOOKUP(Orders[[#This Row],[Product ID]],products!$A$1:$A$49,products!$G$1:$G$49,,0)</f>
        <v>1.0101</v>
      </c>
      <c r="Q589" s="13">
        <f t="shared" si="46"/>
        <v>1.0101</v>
      </c>
      <c r="R589" t="str">
        <f t="shared" si="48"/>
        <v>Liberica</v>
      </c>
      <c r="S589" t="str">
        <f t="shared" si="49"/>
        <v>Dark</v>
      </c>
      <c r="T589" t="str">
        <f>_xlfn.XLOOKUP(Orders[[#This Row],[Customer ID]],customers!$A$1:$A$1001,customers!$I$1:$I$1001,,0)</f>
        <v>Yes</v>
      </c>
    </row>
    <row r="590" spans="1:20" x14ac:dyDescent="0.35">
      <c r="A590" s="2" t="s">
        <v>3812</v>
      </c>
      <c r="B590" s="3">
        <v>44046</v>
      </c>
      <c r="C590" s="2" t="s">
        <v>3813</v>
      </c>
      <c r="D590" t="s">
        <v>6146</v>
      </c>
      <c r="E590" t="str">
        <f t="shared" si="47"/>
        <v>Robusta-Medium-0.5</v>
      </c>
      <c r="F590" s="2">
        <v>2</v>
      </c>
      <c r="G590" s="2" t="str" cm="1">
        <f t="array" ref="G590">_xlfn.XLOOKUP(C590, customers!$A$1:A1589,customers!$B$1:B1589,,0)</f>
        <v>Valenka Stansbury</v>
      </c>
      <c r="H590" s="2" t="str" cm="1">
        <f t="array" ref="H590">IF(_xlfn.XLOOKUP(C590,customers!$A$1:A1589,customers!$C$1:C1589,,0) = 0,"", _xlfn.XLOOKUP(C590,customers!$A$1:A1589,customers!$C$1:C1589,,0))</f>
        <v>vstansburygc@unblog.fr</v>
      </c>
      <c r="I590" s="2" t="str">
        <f>_xlfn.XLOOKUP(C590,customers!$A$1:$A$1001,customers!$G$1:$G$1001,,0)</f>
        <v>United States</v>
      </c>
      <c r="J590" s="2" t="str">
        <f>_xlfn.XLOOKUP(Orders[[#This Row],[Customer ID]],customers!$A$1:$A$1001,customers!$F$1:$F$1001,,0)</f>
        <v>El Paso</v>
      </c>
      <c r="K590" t="str">
        <f>INDEX(products!$A$1:$G$49,MATCH(orders!$D590,products!$A$1:$A$49,0),MATCH(orders!K$1,products!$A$1:$G$1,0))</f>
        <v>Rob</v>
      </c>
      <c r="L590" t="str">
        <f>INDEX(products!$A$1:$G$49,MATCH(orders!$D590,products!$A$1:$A$49,0),MATCH(orders!L$1,products!$A$1:$G$1,0))</f>
        <v>M</v>
      </c>
      <c r="M590" s="14">
        <f>INDEX(products!$A$1:$G$49,MATCH(orders!$D590,products!$A$1:$A$49,0),MATCH(orders!M$1,products!$A$1:$G$1,0))</f>
        <v>0.5</v>
      </c>
      <c r="N590" s="4">
        <f>INDEX(products!$A$1:$G$49,MATCH(orders!$D590,products!$A$1:$A$49,0),MATCH(orders!N$1,products!$A$1:$G$1,0))</f>
        <v>5.97</v>
      </c>
      <c r="O590" s="13">
        <f t="shared" si="45"/>
        <v>11.94</v>
      </c>
      <c r="P590" s="13">
        <f>_xlfn.XLOOKUP(Orders[[#This Row],[Product ID]],products!$A$1:$A$49,products!$G$1:$G$49,,0)</f>
        <v>0.35819999999999996</v>
      </c>
      <c r="Q590" s="13">
        <f t="shared" si="46"/>
        <v>0.71639999999999993</v>
      </c>
      <c r="R590" t="str">
        <f t="shared" si="48"/>
        <v>Robusta</v>
      </c>
      <c r="S590" t="str">
        <f t="shared" si="49"/>
        <v>Medium</v>
      </c>
      <c r="T590" t="str">
        <f>_xlfn.XLOOKUP(Orders[[#This Row],[Customer ID]],customers!$A$1:$A$1001,customers!$I$1:$I$1001,,0)</f>
        <v>Yes</v>
      </c>
    </row>
    <row r="591" spans="1:20" x14ac:dyDescent="0.35">
      <c r="A591" s="2" t="s">
        <v>3818</v>
      </c>
      <c r="B591" s="3">
        <v>43671</v>
      </c>
      <c r="C591" s="2" t="s">
        <v>3819</v>
      </c>
      <c r="D591" t="s">
        <v>6148</v>
      </c>
      <c r="E591" t="str">
        <f t="shared" si="47"/>
        <v>Excelsa-Light-2.5</v>
      </c>
      <c r="F591" s="2">
        <v>6</v>
      </c>
      <c r="G591" s="2" t="str" cm="1">
        <f t="array" ref="G591">_xlfn.XLOOKUP(C591, customers!$A$1:A1590,customers!$B$1:B1590,,0)</f>
        <v>Daniel Heinonen</v>
      </c>
      <c r="H591" s="2" t="str" cm="1">
        <f t="array" ref="H591">IF(_xlfn.XLOOKUP(C591,customers!$A$1:A1590,customers!$C$1:C1590,,0) = 0,"", _xlfn.XLOOKUP(C591,customers!$A$1:A1590,customers!$C$1:C1590,,0))</f>
        <v>dheinonengd@printfriendly.com</v>
      </c>
      <c r="I591" s="2" t="str">
        <f>_xlfn.XLOOKUP(C591,customers!$A$1:$A$1001,customers!$G$1:$G$1001,,0)</f>
        <v>United States</v>
      </c>
      <c r="J591" s="2" t="str">
        <f>_xlfn.XLOOKUP(Orders[[#This Row],[Customer ID]],customers!$A$1:$A$1001,customers!$F$1:$F$1001,,0)</f>
        <v>Decatur</v>
      </c>
      <c r="K591" t="str">
        <f>INDEX(products!$A$1:$G$49,MATCH(orders!$D591,products!$A$1:$A$49,0),MATCH(orders!K$1,products!$A$1:$G$1,0))</f>
        <v>Exc</v>
      </c>
      <c r="L591" t="str">
        <f>INDEX(products!$A$1:$G$49,MATCH(orders!$D591,products!$A$1:$A$49,0),MATCH(orders!L$1,products!$A$1:$G$1,0))</f>
        <v>L</v>
      </c>
      <c r="M591" s="14">
        <f>INDEX(products!$A$1:$G$49,MATCH(orders!$D591,products!$A$1:$A$49,0),MATCH(orders!M$1,products!$A$1:$G$1,0))</f>
        <v>2.5</v>
      </c>
      <c r="N591" s="4">
        <f>INDEX(products!$A$1:$G$49,MATCH(orders!$D591,products!$A$1:$A$49,0),MATCH(orders!N$1,products!$A$1:$G$1,0))</f>
        <v>34.154999999999994</v>
      </c>
      <c r="O591" s="13">
        <f t="shared" si="45"/>
        <v>204.92999999999995</v>
      </c>
      <c r="P591" s="13">
        <f>_xlfn.XLOOKUP(Orders[[#This Row],[Product ID]],products!$A$1:$A$49,products!$G$1:$G$49,,0)</f>
        <v>3.7570499999999996</v>
      </c>
      <c r="Q591" s="13">
        <f t="shared" si="46"/>
        <v>22.542299999999997</v>
      </c>
      <c r="R591" t="str">
        <f t="shared" si="48"/>
        <v>Execelsa</v>
      </c>
      <c r="S591" t="str">
        <f t="shared" si="49"/>
        <v>Light</v>
      </c>
      <c r="T591" t="str">
        <f>_xlfn.XLOOKUP(Orders[[#This Row],[Customer ID]],customers!$A$1:$A$1001,customers!$I$1:$I$1001,,0)</f>
        <v>No</v>
      </c>
    </row>
    <row r="592" spans="1:20" x14ac:dyDescent="0.35">
      <c r="A592" s="2" t="s">
        <v>3823</v>
      </c>
      <c r="B592" s="3">
        <v>43950</v>
      </c>
      <c r="C592" s="2" t="s">
        <v>3824</v>
      </c>
      <c r="D592" t="s">
        <v>6166</v>
      </c>
      <c r="E592" t="str">
        <f t="shared" si="47"/>
        <v>Excelsa-Medium-2.5</v>
      </c>
      <c r="F592" s="2">
        <v>2</v>
      </c>
      <c r="G592" s="2" t="str" cm="1">
        <f t="array" ref="G592">_xlfn.XLOOKUP(C592, customers!$A$1:A1591,customers!$B$1:B1591,,0)</f>
        <v>Jewelle Shenton</v>
      </c>
      <c r="H592" s="2" t="str" cm="1">
        <f t="array" ref="H592">IF(_xlfn.XLOOKUP(C592,customers!$A$1:A1591,customers!$C$1:C1591,,0) = 0,"", _xlfn.XLOOKUP(C592,customers!$A$1:A1591,customers!$C$1:C1591,,0))</f>
        <v>jshentonge@google.com.hk</v>
      </c>
      <c r="I592" s="2" t="str">
        <f>_xlfn.XLOOKUP(C592,customers!$A$1:$A$1001,customers!$G$1:$G$1001,,0)</f>
        <v>United States</v>
      </c>
      <c r="J592" s="2" t="str">
        <f>_xlfn.XLOOKUP(Orders[[#This Row],[Customer ID]],customers!$A$1:$A$1001,customers!$F$1:$F$1001,,0)</f>
        <v>Orange</v>
      </c>
      <c r="K592" t="str">
        <f>INDEX(products!$A$1:$G$49,MATCH(orders!$D592,products!$A$1:$A$49,0),MATCH(orders!K$1,products!$A$1:$G$1,0))</f>
        <v>Exc</v>
      </c>
      <c r="L592" t="str">
        <f>INDEX(products!$A$1:$G$49,MATCH(orders!$D592,products!$A$1:$A$49,0),MATCH(orders!L$1,products!$A$1:$G$1,0))</f>
        <v>M</v>
      </c>
      <c r="M592" s="14">
        <f>INDEX(products!$A$1:$G$49,MATCH(orders!$D592,products!$A$1:$A$49,0),MATCH(orders!M$1,products!$A$1:$G$1,0))</f>
        <v>2.5</v>
      </c>
      <c r="N592" s="4">
        <f>INDEX(products!$A$1:$G$49,MATCH(orders!$D592,products!$A$1:$A$49,0),MATCH(orders!N$1,products!$A$1:$G$1,0))</f>
        <v>31.624999999999996</v>
      </c>
      <c r="O592" s="13">
        <f t="shared" si="45"/>
        <v>63.249999999999993</v>
      </c>
      <c r="P592" s="13">
        <f>_xlfn.XLOOKUP(Orders[[#This Row],[Product ID]],products!$A$1:$A$49,products!$G$1:$G$49,,0)</f>
        <v>3.4787499999999998</v>
      </c>
      <c r="Q592" s="13">
        <f t="shared" si="46"/>
        <v>6.9574999999999996</v>
      </c>
      <c r="R592" t="str">
        <f t="shared" si="48"/>
        <v>Execelsa</v>
      </c>
      <c r="S592" t="str">
        <f t="shared" si="49"/>
        <v>Medium</v>
      </c>
      <c r="T592" t="str">
        <f>_xlfn.XLOOKUP(Orders[[#This Row],[Customer ID]],customers!$A$1:$A$1001,customers!$I$1:$I$1001,,0)</f>
        <v>Yes</v>
      </c>
    </row>
    <row r="593" spans="1:20" x14ac:dyDescent="0.35">
      <c r="A593" s="2" t="s">
        <v>3829</v>
      </c>
      <c r="B593" s="3">
        <v>43587</v>
      </c>
      <c r="C593" s="2" t="s">
        <v>3830</v>
      </c>
      <c r="D593" t="s">
        <v>6163</v>
      </c>
      <c r="E593" t="str">
        <f t="shared" si="47"/>
        <v>Robusta-Dark-0.2</v>
      </c>
      <c r="F593" s="2">
        <v>3</v>
      </c>
      <c r="G593" s="2" t="str" cm="1">
        <f t="array" ref="G593">_xlfn.XLOOKUP(C593, customers!$A$1:A1592,customers!$B$1:B1592,,0)</f>
        <v>Jennifer Wilkisson</v>
      </c>
      <c r="H593" s="2" t="str" cm="1">
        <f t="array" ref="H593">IF(_xlfn.XLOOKUP(C593,customers!$A$1:A1592,customers!$C$1:C1592,,0) = 0,"", _xlfn.XLOOKUP(C593,customers!$A$1:A1592,customers!$C$1:C1592,,0))</f>
        <v>jwilkissongf@nba.com</v>
      </c>
      <c r="I593" s="2" t="str">
        <f>_xlfn.XLOOKUP(C593,customers!$A$1:$A$1001,customers!$G$1:$G$1001,,0)</f>
        <v>United States</v>
      </c>
      <c r="J593" s="2" t="str">
        <f>_xlfn.XLOOKUP(Orders[[#This Row],[Customer ID]],customers!$A$1:$A$1001,customers!$F$1:$F$1001,,0)</f>
        <v>Huntington Beach</v>
      </c>
      <c r="K593" t="str">
        <f>INDEX(products!$A$1:$G$49,MATCH(orders!$D593,products!$A$1:$A$49,0),MATCH(orders!K$1,products!$A$1:$G$1,0))</f>
        <v>Rob</v>
      </c>
      <c r="L593" t="str">
        <f>INDEX(products!$A$1:$G$49,MATCH(orders!$D593,products!$A$1:$A$49,0),MATCH(orders!L$1,products!$A$1:$G$1,0))</f>
        <v>D</v>
      </c>
      <c r="M593" s="14">
        <f>INDEX(products!$A$1:$G$49,MATCH(orders!$D593,products!$A$1:$A$49,0),MATCH(orders!M$1,products!$A$1:$G$1,0))</f>
        <v>0.2</v>
      </c>
      <c r="N593" s="4">
        <f>INDEX(products!$A$1:$G$49,MATCH(orders!$D593,products!$A$1:$A$49,0),MATCH(orders!N$1,products!$A$1:$G$1,0))</f>
        <v>2.6849999999999996</v>
      </c>
      <c r="O593" s="13">
        <f t="shared" si="45"/>
        <v>8.0549999999999997</v>
      </c>
      <c r="P593" s="13">
        <f>_xlfn.XLOOKUP(Orders[[#This Row],[Product ID]],products!$A$1:$A$49,products!$G$1:$G$49,,0)</f>
        <v>0.16109999999999997</v>
      </c>
      <c r="Q593" s="13">
        <f t="shared" si="46"/>
        <v>0.4832999999999999</v>
      </c>
      <c r="R593" t="str">
        <f t="shared" si="48"/>
        <v>Robusta</v>
      </c>
      <c r="S593" t="str">
        <f t="shared" si="49"/>
        <v>Dark</v>
      </c>
      <c r="T593" t="str">
        <f>_xlfn.XLOOKUP(Orders[[#This Row],[Customer ID]],customers!$A$1:$A$1001,customers!$I$1:$I$1001,,0)</f>
        <v>Yes</v>
      </c>
    </row>
    <row r="594" spans="1:20" x14ac:dyDescent="0.35">
      <c r="A594" s="2" t="s">
        <v>3834</v>
      </c>
      <c r="B594" s="3">
        <v>44437</v>
      </c>
      <c r="C594" s="2" t="s">
        <v>3835</v>
      </c>
      <c r="D594" t="s">
        <v>6175</v>
      </c>
      <c r="E594" t="str">
        <f t="shared" si="47"/>
        <v>Arabica-Medium-2.5</v>
      </c>
      <c r="F594" s="2">
        <v>2</v>
      </c>
      <c r="G594" s="2" t="str" cm="1">
        <f t="array" ref="G594">_xlfn.XLOOKUP(C594, customers!$A$1:A1593,customers!$B$1:B1593,,0)</f>
        <v>Kylie Mowat</v>
      </c>
      <c r="H594" s="2" t="str" cm="1">
        <f t="array" ref="H594">IF(_xlfn.XLOOKUP(C594,customers!$A$1:A1593,customers!$C$1:C1593,,0) = 0,"", _xlfn.XLOOKUP(C594,customers!$A$1:A1593,customers!$C$1:C1593,,0))</f>
        <v/>
      </c>
      <c r="I594" s="2" t="str">
        <f>_xlfn.XLOOKUP(C594,customers!$A$1:$A$1001,customers!$G$1:$G$1001,,0)</f>
        <v>United States</v>
      </c>
      <c r="J594" s="2" t="str">
        <f>_xlfn.XLOOKUP(Orders[[#This Row],[Customer ID]],customers!$A$1:$A$1001,customers!$F$1:$F$1001,,0)</f>
        <v>Milwaukee</v>
      </c>
      <c r="K594" t="str">
        <f>INDEX(products!$A$1:$G$49,MATCH(orders!$D594,products!$A$1:$A$49,0),MATCH(orders!K$1,products!$A$1:$G$1,0))</f>
        <v>Ara</v>
      </c>
      <c r="L594" t="str">
        <f>INDEX(products!$A$1:$G$49,MATCH(orders!$D594,products!$A$1:$A$49,0),MATCH(orders!L$1,products!$A$1:$G$1,0))</f>
        <v>M</v>
      </c>
      <c r="M594" s="14">
        <f>INDEX(products!$A$1:$G$49,MATCH(orders!$D594,products!$A$1:$A$49,0),MATCH(orders!M$1,products!$A$1:$G$1,0))</f>
        <v>2.5</v>
      </c>
      <c r="N594" s="4">
        <f>INDEX(products!$A$1:$G$49,MATCH(orders!$D594,products!$A$1:$A$49,0),MATCH(orders!N$1,products!$A$1:$G$1,0))</f>
        <v>25.874999999999996</v>
      </c>
      <c r="O594" s="13">
        <f t="shared" si="45"/>
        <v>51.749999999999993</v>
      </c>
      <c r="P594" s="13">
        <f>_xlfn.XLOOKUP(Orders[[#This Row],[Product ID]],products!$A$1:$A$49,products!$G$1:$G$49,,0)</f>
        <v>2.3287499999999994</v>
      </c>
      <c r="Q594" s="13">
        <f t="shared" si="46"/>
        <v>4.6574999999999989</v>
      </c>
      <c r="R594" t="str">
        <f t="shared" si="48"/>
        <v>Arabica</v>
      </c>
      <c r="S594" t="str">
        <f t="shared" si="49"/>
        <v>Medium</v>
      </c>
      <c r="T594" t="str">
        <f>_xlfn.XLOOKUP(Orders[[#This Row],[Customer ID]],customers!$A$1:$A$1001,customers!$I$1:$I$1001,,0)</f>
        <v>No</v>
      </c>
    </row>
    <row r="595" spans="1:20" x14ac:dyDescent="0.35">
      <c r="A595" s="2" t="s">
        <v>3839</v>
      </c>
      <c r="B595" s="3">
        <v>43903</v>
      </c>
      <c r="C595" s="2" t="s">
        <v>3840</v>
      </c>
      <c r="D595" t="s">
        <v>6185</v>
      </c>
      <c r="E595" t="str">
        <f t="shared" si="47"/>
        <v>Excelsa-Dark-2.5</v>
      </c>
      <c r="F595" s="2">
        <v>1</v>
      </c>
      <c r="G595" s="2" t="str" cm="1">
        <f t="array" ref="G595">_xlfn.XLOOKUP(C595, customers!$A$1:A1594,customers!$B$1:B1594,,0)</f>
        <v>Cody Verissimo</v>
      </c>
      <c r="H595" s="2" t="str" cm="1">
        <f t="array" ref="H595">IF(_xlfn.XLOOKUP(C595,customers!$A$1:A1594,customers!$C$1:C1594,,0) = 0,"", _xlfn.XLOOKUP(C595,customers!$A$1:A1594,customers!$C$1:C1594,,0))</f>
        <v>cverissimogh@theglobeandmail.com</v>
      </c>
      <c r="I595" s="2" t="str">
        <f>_xlfn.XLOOKUP(C595,customers!$A$1:$A$1001,customers!$G$1:$G$1001,,0)</f>
        <v>United Kingdom</v>
      </c>
      <c r="J595" s="2" t="str">
        <f>_xlfn.XLOOKUP(Orders[[#This Row],[Customer ID]],customers!$A$1:$A$1001,customers!$F$1:$F$1001,,0)</f>
        <v>Upton</v>
      </c>
      <c r="K595" t="str">
        <f>INDEX(products!$A$1:$G$49,MATCH(orders!$D595,products!$A$1:$A$49,0),MATCH(orders!K$1,products!$A$1:$G$1,0))</f>
        <v>Exc</v>
      </c>
      <c r="L595" t="str">
        <f>INDEX(products!$A$1:$G$49,MATCH(orders!$D595,products!$A$1:$A$49,0),MATCH(orders!L$1,products!$A$1:$G$1,0))</f>
        <v>D</v>
      </c>
      <c r="M595" s="14">
        <f>INDEX(products!$A$1:$G$49,MATCH(orders!$D595,products!$A$1:$A$49,0),MATCH(orders!M$1,products!$A$1:$G$1,0))</f>
        <v>2.5</v>
      </c>
      <c r="N595" s="4">
        <f>INDEX(products!$A$1:$G$49,MATCH(orders!$D595,products!$A$1:$A$49,0),MATCH(orders!N$1,products!$A$1:$G$1,0))</f>
        <v>27.945</v>
      </c>
      <c r="O595" s="13">
        <f t="shared" si="45"/>
        <v>27.945</v>
      </c>
      <c r="P595" s="13">
        <f>_xlfn.XLOOKUP(Orders[[#This Row],[Product ID]],products!$A$1:$A$49,products!$G$1:$G$49,,0)</f>
        <v>3.07395</v>
      </c>
      <c r="Q595" s="13">
        <f t="shared" si="46"/>
        <v>3.07395</v>
      </c>
      <c r="R595" t="str">
        <f t="shared" si="48"/>
        <v>Execelsa</v>
      </c>
      <c r="S595" t="str">
        <f t="shared" si="49"/>
        <v>Dark</v>
      </c>
      <c r="T595" t="str">
        <f>_xlfn.XLOOKUP(Orders[[#This Row],[Customer ID]],customers!$A$1:$A$1001,customers!$I$1:$I$1001,,0)</f>
        <v>Yes</v>
      </c>
    </row>
    <row r="596" spans="1:20" x14ac:dyDescent="0.35">
      <c r="A596" s="2" t="s">
        <v>3844</v>
      </c>
      <c r="B596" s="3">
        <v>43512</v>
      </c>
      <c r="C596" s="2" t="s">
        <v>3845</v>
      </c>
      <c r="D596" t="s">
        <v>6182</v>
      </c>
      <c r="E596" t="str">
        <f t="shared" si="47"/>
        <v>Arabica-Light-2.5</v>
      </c>
      <c r="F596" s="2">
        <v>2</v>
      </c>
      <c r="G596" s="2" t="str" cm="1">
        <f t="array" ref="G596">_xlfn.XLOOKUP(C596, customers!$A$1:A1595,customers!$B$1:B1595,,0)</f>
        <v>Gabriel Starcks</v>
      </c>
      <c r="H596" s="2" t="str" cm="1">
        <f t="array" ref="H596">IF(_xlfn.XLOOKUP(C596,customers!$A$1:A1595,customers!$C$1:C1595,,0) = 0,"", _xlfn.XLOOKUP(C596,customers!$A$1:A1595,customers!$C$1:C1595,,0))</f>
        <v>gstarcksgi@abc.net.au</v>
      </c>
      <c r="I596" s="2" t="str">
        <f>_xlfn.XLOOKUP(C596,customers!$A$1:$A$1001,customers!$G$1:$G$1001,,0)</f>
        <v>United States</v>
      </c>
      <c r="J596" s="2" t="str">
        <f>_xlfn.XLOOKUP(Orders[[#This Row],[Customer ID]],customers!$A$1:$A$1001,customers!$F$1:$F$1001,,0)</f>
        <v>Chattanooga</v>
      </c>
      <c r="K596" t="str">
        <f>INDEX(products!$A$1:$G$49,MATCH(orders!$D596,products!$A$1:$A$49,0),MATCH(orders!K$1,products!$A$1:$G$1,0))</f>
        <v>Ara</v>
      </c>
      <c r="L596" t="str">
        <f>INDEX(products!$A$1:$G$49,MATCH(orders!$D596,products!$A$1:$A$49,0),MATCH(orders!L$1,products!$A$1:$G$1,0))</f>
        <v>L</v>
      </c>
      <c r="M596" s="14">
        <f>INDEX(products!$A$1:$G$49,MATCH(orders!$D596,products!$A$1:$A$49,0),MATCH(orders!M$1,products!$A$1:$G$1,0))</f>
        <v>2.5</v>
      </c>
      <c r="N596" s="4">
        <f>INDEX(products!$A$1:$G$49,MATCH(orders!$D596,products!$A$1:$A$49,0),MATCH(orders!N$1,products!$A$1:$G$1,0))</f>
        <v>29.784999999999997</v>
      </c>
      <c r="O596" s="13">
        <f t="shared" si="45"/>
        <v>59.569999999999993</v>
      </c>
      <c r="P596" s="13">
        <f>_xlfn.XLOOKUP(Orders[[#This Row],[Product ID]],products!$A$1:$A$49,products!$G$1:$G$49,,0)</f>
        <v>2.6806499999999995</v>
      </c>
      <c r="Q596" s="13">
        <f t="shared" si="46"/>
        <v>5.3612999999999991</v>
      </c>
      <c r="R596" t="str">
        <f t="shared" si="48"/>
        <v>Arabica</v>
      </c>
      <c r="S596" t="str">
        <f t="shared" si="49"/>
        <v>Light</v>
      </c>
      <c r="T596" t="str">
        <f>_xlfn.XLOOKUP(Orders[[#This Row],[Customer ID]],customers!$A$1:$A$1001,customers!$I$1:$I$1001,,0)</f>
        <v>No</v>
      </c>
    </row>
    <row r="597" spans="1:20" x14ac:dyDescent="0.35">
      <c r="A597" s="2" t="s">
        <v>3850</v>
      </c>
      <c r="B597" s="3">
        <v>44527</v>
      </c>
      <c r="C597" s="2" t="s">
        <v>3851</v>
      </c>
      <c r="D597" t="s">
        <v>6171</v>
      </c>
      <c r="E597" t="str">
        <f t="shared" si="47"/>
        <v>Excelsa-Light-1</v>
      </c>
      <c r="F597" s="2">
        <v>1</v>
      </c>
      <c r="G597" s="2" t="str" cm="1">
        <f t="array" ref="G597">_xlfn.XLOOKUP(C597, customers!$A$1:A1596,customers!$B$1:B1596,,0)</f>
        <v>Darby Dummer</v>
      </c>
      <c r="H597" s="2" t="str" cm="1">
        <f t="array" ref="H597">IF(_xlfn.XLOOKUP(C597,customers!$A$1:A1596,customers!$C$1:C1596,,0) = 0,"", _xlfn.XLOOKUP(C597,customers!$A$1:A1596,customers!$C$1:C1596,,0))</f>
        <v/>
      </c>
      <c r="I597" s="2" t="str">
        <f>_xlfn.XLOOKUP(C597,customers!$A$1:$A$1001,customers!$G$1:$G$1001,,0)</f>
        <v>United Kingdom</v>
      </c>
      <c r="J597" s="2" t="str">
        <f>_xlfn.XLOOKUP(Orders[[#This Row],[Customer ID]],customers!$A$1:$A$1001,customers!$F$1:$F$1001,,0)</f>
        <v>Manchester</v>
      </c>
      <c r="K597" t="str">
        <f>INDEX(products!$A$1:$G$49,MATCH(orders!$D597,products!$A$1:$A$49,0),MATCH(orders!K$1,products!$A$1:$G$1,0))</f>
        <v>Exc</v>
      </c>
      <c r="L597" t="str">
        <f>INDEX(products!$A$1:$G$49,MATCH(orders!$D597,products!$A$1:$A$49,0),MATCH(orders!L$1,products!$A$1:$G$1,0))</f>
        <v>L</v>
      </c>
      <c r="M597" s="14">
        <f>INDEX(products!$A$1:$G$49,MATCH(orders!$D597,products!$A$1:$A$49,0),MATCH(orders!M$1,products!$A$1:$G$1,0))</f>
        <v>1</v>
      </c>
      <c r="N597" s="4">
        <f>INDEX(products!$A$1:$G$49,MATCH(orders!$D597,products!$A$1:$A$49,0),MATCH(orders!N$1,products!$A$1:$G$1,0))</f>
        <v>14.85</v>
      </c>
      <c r="O597" s="13">
        <f t="shared" si="45"/>
        <v>14.85</v>
      </c>
      <c r="P597" s="13">
        <f>_xlfn.XLOOKUP(Orders[[#This Row],[Product ID]],products!$A$1:$A$49,products!$G$1:$G$49,,0)</f>
        <v>1.6335</v>
      </c>
      <c r="Q597" s="13">
        <f t="shared" si="46"/>
        <v>1.6335</v>
      </c>
      <c r="R597" t="str">
        <f t="shared" si="48"/>
        <v>Execelsa</v>
      </c>
      <c r="S597" t="str">
        <f t="shared" si="49"/>
        <v>Light</v>
      </c>
      <c r="T597" t="str">
        <f>_xlfn.XLOOKUP(Orders[[#This Row],[Customer ID]],customers!$A$1:$A$1001,customers!$I$1:$I$1001,,0)</f>
        <v>No</v>
      </c>
    </row>
    <row r="598" spans="1:20" x14ac:dyDescent="0.35">
      <c r="A598" s="2" t="s">
        <v>3854</v>
      </c>
      <c r="B598" s="3">
        <v>44523</v>
      </c>
      <c r="C598" s="2" t="s">
        <v>3855</v>
      </c>
      <c r="D598" t="s">
        <v>6157</v>
      </c>
      <c r="E598" t="str">
        <f t="shared" si="47"/>
        <v>Arabica-Medium-0.5</v>
      </c>
      <c r="F598" s="2">
        <v>5</v>
      </c>
      <c r="G598" s="2" t="str" cm="1">
        <f t="array" ref="G598">_xlfn.XLOOKUP(C598, customers!$A$1:A1597,customers!$B$1:B1597,,0)</f>
        <v>Kienan Scholard</v>
      </c>
      <c r="H598" s="2" t="str" cm="1">
        <f t="array" ref="H598">IF(_xlfn.XLOOKUP(C598,customers!$A$1:A1597,customers!$C$1:C1597,,0) = 0,"", _xlfn.XLOOKUP(C598,customers!$A$1:A1597,customers!$C$1:C1597,,0))</f>
        <v>kscholardgk@sbwire.com</v>
      </c>
      <c r="I598" s="2" t="str">
        <f>_xlfn.XLOOKUP(C598,customers!$A$1:$A$1001,customers!$G$1:$G$1001,,0)</f>
        <v>United States</v>
      </c>
      <c r="J598" s="2" t="str">
        <f>_xlfn.XLOOKUP(Orders[[#This Row],[Customer ID]],customers!$A$1:$A$1001,customers!$F$1:$F$1001,,0)</f>
        <v>Columbus</v>
      </c>
      <c r="K598" t="str">
        <f>INDEX(products!$A$1:$G$49,MATCH(orders!$D598,products!$A$1:$A$49,0),MATCH(orders!K$1,products!$A$1:$G$1,0))</f>
        <v>Ara</v>
      </c>
      <c r="L598" t="str">
        <f>INDEX(products!$A$1:$G$49,MATCH(orders!$D598,products!$A$1:$A$49,0),MATCH(orders!L$1,products!$A$1:$G$1,0))</f>
        <v>M</v>
      </c>
      <c r="M598" s="14">
        <f>INDEX(products!$A$1:$G$49,MATCH(orders!$D598,products!$A$1:$A$49,0),MATCH(orders!M$1,products!$A$1:$G$1,0))</f>
        <v>0.5</v>
      </c>
      <c r="N598" s="4">
        <f>INDEX(products!$A$1:$G$49,MATCH(orders!$D598,products!$A$1:$A$49,0),MATCH(orders!N$1,products!$A$1:$G$1,0))</f>
        <v>6.75</v>
      </c>
      <c r="O598" s="13">
        <f t="shared" si="45"/>
        <v>33.75</v>
      </c>
      <c r="P598" s="13">
        <f>_xlfn.XLOOKUP(Orders[[#This Row],[Product ID]],products!$A$1:$A$49,products!$G$1:$G$49,,0)</f>
        <v>0.60749999999999993</v>
      </c>
      <c r="Q598" s="13">
        <f t="shared" si="46"/>
        <v>3.0374999999999996</v>
      </c>
      <c r="R598" t="str">
        <f t="shared" si="48"/>
        <v>Arabica</v>
      </c>
      <c r="S598" t="str">
        <f t="shared" si="49"/>
        <v>Medium</v>
      </c>
      <c r="T598" t="str">
        <f>_xlfn.XLOOKUP(Orders[[#This Row],[Customer ID]],customers!$A$1:$A$1001,customers!$I$1:$I$1001,,0)</f>
        <v>No</v>
      </c>
    </row>
    <row r="599" spans="1:20" x14ac:dyDescent="0.35">
      <c r="A599" s="2" t="s">
        <v>3860</v>
      </c>
      <c r="B599" s="3">
        <v>44532</v>
      </c>
      <c r="C599" s="2" t="s">
        <v>3861</v>
      </c>
      <c r="D599" t="s">
        <v>6164</v>
      </c>
      <c r="E599" t="str">
        <f t="shared" si="47"/>
        <v>Liberica-Light-2.5</v>
      </c>
      <c r="F599" s="2">
        <v>4</v>
      </c>
      <c r="G599" s="2" t="str" cm="1">
        <f t="array" ref="G599">_xlfn.XLOOKUP(C599, customers!$A$1:A1598,customers!$B$1:B1598,,0)</f>
        <v>Bo Kindley</v>
      </c>
      <c r="H599" s="2" t="str" cm="1">
        <f t="array" ref="H599">IF(_xlfn.XLOOKUP(C599,customers!$A$1:A1598,customers!$C$1:C1598,,0) = 0,"", _xlfn.XLOOKUP(C599,customers!$A$1:A1598,customers!$C$1:C1598,,0))</f>
        <v>bkindleygl@wikimedia.org</v>
      </c>
      <c r="I599" s="2" t="str">
        <f>_xlfn.XLOOKUP(C599,customers!$A$1:$A$1001,customers!$G$1:$G$1001,,0)</f>
        <v>United States</v>
      </c>
      <c r="J599" s="2" t="str">
        <f>_xlfn.XLOOKUP(Orders[[#This Row],[Customer ID]],customers!$A$1:$A$1001,customers!$F$1:$F$1001,,0)</f>
        <v>Pasadena</v>
      </c>
      <c r="K599" t="str">
        <f>INDEX(products!$A$1:$G$49,MATCH(orders!$D599,products!$A$1:$A$49,0),MATCH(orders!K$1,products!$A$1:$G$1,0))</f>
        <v>Lib</v>
      </c>
      <c r="L599" t="str">
        <f>INDEX(products!$A$1:$G$49,MATCH(orders!$D599,products!$A$1:$A$49,0),MATCH(orders!L$1,products!$A$1:$G$1,0))</f>
        <v>L</v>
      </c>
      <c r="M599" s="14">
        <f>INDEX(products!$A$1:$G$49,MATCH(orders!$D599,products!$A$1:$A$49,0),MATCH(orders!M$1,products!$A$1:$G$1,0))</f>
        <v>2.5</v>
      </c>
      <c r="N599" s="4">
        <f>INDEX(products!$A$1:$G$49,MATCH(orders!$D599,products!$A$1:$A$49,0),MATCH(orders!N$1,products!$A$1:$G$1,0))</f>
        <v>36.454999999999998</v>
      </c>
      <c r="O599" s="13">
        <f t="shared" si="45"/>
        <v>145.82</v>
      </c>
      <c r="P599" s="13">
        <f>_xlfn.XLOOKUP(Orders[[#This Row],[Product ID]],products!$A$1:$A$49,products!$G$1:$G$49,,0)</f>
        <v>4.7391499999999995</v>
      </c>
      <c r="Q599" s="13">
        <f t="shared" si="46"/>
        <v>18.956599999999998</v>
      </c>
      <c r="R599" t="str">
        <f t="shared" si="48"/>
        <v>Liberica</v>
      </c>
      <c r="S599" t="str">
        <f t="shared" si="49"/>
        <v>Light</v>
      </c>
      <c r="T599" t="str">
        <f>_xlfn.XLOOKUP(Orders[[#This Row],[Customer ID]],customers!$A$1:$A$1001,customers!$I$1:$I$1001,,0)</f>
        <v>Yes</v>
      </c>
    </row>
    <row r="600" spans="1:20" x14ac:dyDescent="0.35">
      <c r="A600" s="2" t="s">
        <v>3866</v>
      </c>
      <c r="B600" s="3">
        <v>43471</v>
      </c>
      <c r="C600" s="2" t="s">
        <v>3867</v>
      </c>
      <c r="D600" t="s">
        <v>6174</v>
      </c>
      <c r="E600" t="str">
        <f t="shared" si="47"/>
        <v>Robusta-Medium-0.2</v>
      </c>
      <c r="F600" s="2">
        <v>4</v>
      </c>
      <c r="G600" s="2" t="str" cm="1">
        <f t="array" ref="G600">_xlfn.XLOOKUP(C600, customers!$A$1:A1599,customers!$B$1:B1599,,0)</f>
        <v>Krissie Hammett</v>
      </c>
      <c r="H600" s="2" t="str" cm="1">
        <f t="array" ref="H600">IF(_xlfn.XLOOKUP(C600,customers!$A$1:A1599,customers!$C$1:C1599,,0) = 0,"", _xlfn.XLOOKUP(C600,customers!$A$1:A1599,customers!$C$1:C1599,,0))</f>
        <v>khammettgm@dmoz.org</v>
      </c>
      <c r="I600" s="2" t="str">
        <f>_xlfn.XLOOKUP(C600,customers!$A$1:$A$1001,customers!$G$1:$G$1001,,0)</f>
        <v>United States</v>
      </c>
      <c r="J600" s="2" t="str">
        <f>_xlfn.XLOOKUP(Orders[[#This Row],[Customer ID]],customers!$A$1:$A$1001,customers!$F$1:$F$1001,,0)</f>
        <v>San Francisco</v>
      </c>
      <c r="K600" t="str">
        <f>INDEX(products!$A$1:$G$49,MATCH(orders!$D600,products!$A$1:$A$49,0),MATCH(orders!K$1,products!$A$1:$G$1,0))</f>
        <v>Rob</v>
      </c>
      <c r="L600" t="str">
        <f>INDEX(products!$A$1:$G$49,MATCH(orders!$D600,products!$A$1:$A$49,0),MATCH(orders!L$1,products!$A$1:$G$1,0))</f>
        <v>M</v>
      </c>
      <c r="M600" s="14">
        <f>INDEX(products!$A$1:$G$49,MATCH(orders!$D600,products!$A$1:$A$49,0),MATCH(orders!M$1,products!$A$1:$G$1,0))</f>
        <v>0.2</v>
      </c>
      <c r="N600" s="4">
        <f>INDEX(products!$A$1:$G$49,MATCH(orders!$D600,products!$A$1:$A$49,0),MATCH(orders!N$1,products!$A$1:$G$1,0))</f>
        <v>2.9849999999999999</v>
      </c>
      <c r="O600" s="13">
        <f t="shared" si="45"/>
        <v>11.94</v>
      </c>
      <c r="P600" s="13">
        <f>_xlfn.XLOOKUP(Orders[[#This Row],[Product ID]],products!$A$1:$A$49,products!$G$1:$G$49,,0)</f>
        <v>0.17909999999999998</v>
      </c>
      <c r="Q600" s="13">
        <f t="shared" si="46"/>
        <v>0.71639999999999993</v>
      </c>
      <c r="R600" t="str">
        <f t="shared" si="48"/>
        <v>Robusta</v>
      </c>
      <c r="S600" t="str">
        <f t="shared" si="49"/>
        <v>Medium</v>
      </c>
      <c r="T600" t="str">
        <f>_xlfn.XLOOKUP(Orders[[#This Row],[Customer ID]],customers!$A$1:$A$1001,customers!$I$1:$I$1001,,0)</f>
        <v>Yes</v>
      </c>
    </row>
    <row r="601" spans="1:20" x14ac:dyDescent="0.35">
      <c r="A601" s="2" t="s">
        <v>3872</v>
      </c>
      <c r="B601" s="3">
        <v>44321</v>
      </c>
      <c r="C601" s="2" t="s">
        <v>3873</v>
      </c>
      <c r="D601" t="s">
        <v>6154</v>
      </c>
      <c r="E601" t="str">
        <f t="shared" si="47"/>
        <v>Arabica-Dark-0.2</v>
      </c>
      <c r="F601" s="2">
        <v>4</v>
      </c>
      <c r="G601" s="2" t="str" cm="1">
        <f t="array" ref="G601">_xlfn.XLOOKUP(C601, customers!$A$1:A1600,customers!$B$1:B1600,,0)</f>
        <v>Alisha Hulburt</v>
      </c>
      <c r="H601" s="2" t="str" cm="1">
        <f t="array" ref="H601">IF(_xlfn.XLOOKUP(C601,customers!$A$1:A1600,customers!$C$1:C1600,,0) = 0,"", _xlfn.XLOOKUP(C601,customers!$A$1:A1600,customers!$C$1:C1600,,0))</f>
        <v>ahulburtgn@fda.gov</v>
      </c>
      <c r="I601" s="2" t="str">
        <f>_xlfn.XLOOKUP(C601,customers!$A$1:$A$1001,customers!$G$1:$G$1001,,0)</f>
        <v>United States</v>
      </c>
      <c r="J601" s="2" t="str">
        <f>_xlfn.XLOOKUP(Orders[[#This Row],[Customer ID]],customers!$A$1:$A$1001,customers!$F$1:$F$1001,,0)</f>
        <v>Shreveport</v>
      </c>
      <c r="K601" t="str">
        <f>INDEX(products!$A$1:$G$49,MATCH(orders!$D601,products!$A$1:$A$49,0),MATCH(orders!K$1,products!$A$1:$G$1,0))</f>
        <v>Ara</v>
      </c>
      <c r="L601" t="str">
        <f>INDEX(products!$A$1:$G$49,MATCH(orders!$D601,products!$A$1:$A$49,0),MATCH(orders!L$1,products!$A$1:$G$1,0))</f>
        <v>D</v>
      </c>
      <c r="M601" s="14">
        <f>INDEX(products!$A$1:$G$49,MATCH(orders!$D601,products!$A$1:$A$49,0),MATCH(orders!M$1,products!$A$1:$G$1,0))</f>
        <v>0.2</v>
      </c>
      <c r="N601" s="4">
        <f>INDEX(products!$A$1:$G$49,MATCH(orders!$D601,products!$A$1:$A$49,0),MATCH(orders!N$1,products!$A$1:$G$1,0))</f>
        <v>2.9849999999999999</v>
      </c>
      <c r="O601" s="13">
        <f t="shared" si="45"/>
        <v>11.94</v>
      </c>
      <c r="P601" s="13">
        <f>_xlfn.XLOOKUP(Orders[[#This Row],[Product ID]],products!$A$1:$A$49,products!$G$1:$G$49,,0)</f>
        <v>0.26865</v>
      </c>
      <c r="Q601" s="13">
        <f t="shared" si="46"/>
        <v>1.0746</v>
      </c>
      <c r="R601" t="str">
        <f t="shared" si="48"/>
        <v>Arabica</v>
      </c>
      <c r="S601" t="str">
        <f t="shared" si="49"/>
        <v>Dark</v>
      </c>
      <c r="T601" t="str">
        <f>_xlfn.XLOOKUP(Orders[[#This Row],[Customer ID]],customers!$A$1:$A$1001,customers!$I$1:$I$1001,,0)</f>
        <v>Yes</v>
      </c>
    </row>
    <row r="602" spans="1:20" x14ac:dyDescent="0.35">
      <c r="A602" s="2" t="s">
        <v>3877</v>
      </c>
      <c r="B602" s="3">
        <v>44492</v>
      </c>
      <c r="C602" s="2" t="s">
        <v>3878</v>
      </c>
      <c r="D602" t="s">
        <v>6169</v>
      </c>
      <c r="E602" t="str">
        <f t="shared" si="47"/>
        <v>Liberica-Dark-0.5</v>
      </c>
      <c r="F602" s="2">
        <v>1</v>
      </c>
      <c r="G602" s="2" t="str" cm="1">
        <f t="array" ref="G602">_xlfn.XLOOKUP(C602, customers!$A$1:A1601,customers!$B$1:B1601,,0)</f>
        <v>Peyter Lauritzen</v>
      </c>
      <c r="H602" s="2" t="str" cm="1">
        <f t="array" ref="H602">IF(_xlfn.XLOOKUP(C602,customers!$A$1:A1601,customers!$C$1:C1601,,0) = 0,"", _xlfn.XLOOKUP(C602,customers!$A$1:A1601,customers!$C$1:C1601,,0))</f>
        <v>plauritzengo@photobucket.com</v>
      </c>
      <c r="I602" s="2" t="str">
        <f>_xlfn.XLOOKUP(C602,customers!$A$1:$A$1001,customers!$G$1:$G$1001,,0)</f>
        <v>United States</v>
      </c>
      <c r="J602" s="2" t="str">
        <f>_xlfn.XLOOKUP(Orders[[#This Row],[Customer ID]],customers!$A$1:$A$1001,customers!$F$1:$F$1001,,0)</f>
        <v>Philadelphia</v>
      </c>
      <c r="K602" t="str">
        <f>INDEX(products!$A$1:$G$49,MATCH(orders!$D602,products!$A$1:$A$49,0),MATCH(orders!K$1,products!$A$1:$G$1,0))</f>
        <v>Lib</v>
      </c>
      <c r="L602" t="str">
        <f>INDEX(products!$A$1:$G$49,MATCH(orders!$D602,products!$A$1:$A$49,0),MATCH(orders!L$1,products!$A$1:$G$1,0))</f>
        <v>D</v>
      </c>
      <c r="M602" s="14">
        <f>INDEX(products!$A$1:$G$49,MATCH(orders!$D602,products!$A$1:$A$49,0),MATCH(orders!M$1,products!$A$1:$G$1,0))</f>
        <v>0.5</v>
      </c>
      <c r="N602" s="4">
        <f>INDEX(products!$A$1:$G$49,MATCH(orders!$D602,products!$A$1:$A$49,0),MATCH(orders!N$1,products!$A$1:$G$1,0))</f>
        <v>7.77</v>
      </c>
      <c r="O602" s="13">
        <f t="shared" si="45"/>
        <v>7.77</v>
      </c>
      <c r="P602" s="13">
        <f>_xlfn.XLOOKUP(Orders[[#This Row],[Product ID]],products!$A$1:$A$49,products!$G$1:$G$49,,0)</f>
        <v>1.0101</v>
      </c>
      <c r="Q602" s="13">
        <f t="shared" si="46"/>
        <v>1.0101</v>
      </c>
      <c r="R602" t="str">
        <f t="shared" si="48"/>
        <v>Liberica</v>
      </c>
      <c r="S602" t="str">
        <f t="shared" si="49"/>
        <v>Dark</v>
      </c>
      <c r="T602" t="str">
        <f>_xlfn.XLOOKUP(Orders[[#This Row],[Customer ID]],customers!$A$1:$A$1001,customers!$I$1:$I$1001,,0)</f>
        <v>No</v>
      </c>
    </row>
    <row r="603" spans="1:20" x14ac:dyDescent="0.35">
      <c r="A603" s="2" t="s">
        <v>3883</v>
      </c>
      <c r="B603" s="3">
        <v>43815</v>
      </c>
      <c r="C603" s="2" t="s">
        <v>3884</v>
      </c>
      <c r="D603" t="s">
        <v>6142</v>
      </c>
      <c r="E603" t="str">
        <f t="shared" si="47"/>
        <v>Robusta-Light-2.5</v>
      </c>
      <c r="F603" s="2">
        <v>4</v>
      </c>
      <c r="G603" s="2" t="str" cm="1">
        <f t="array" ref="G603">_xlfn.XLOOKUP(C603, customers!$A$1:A1602,customers!$B$1:B1602,,0)</f>
        <v>Aurelia Burgwin</v>
      </c>
      <c r="H603" s="2" t="str" cm="1">
        <f t="array" ref="H603">IF(_xlfn.XLOOKUP(C603,customers!$A$1:A1602,customers!$C$1:C1602,,0) = 0,"", _xlfn.XLOOKUP(C603,customers!$A$1:A1602,customers!$C$1:C1602,,0))</f>
        <v>aburgwingp@redcross.org</v>
      </c>
      <c r="I603" s="2" t="str">
        <f>_xlfn.XLOOKUP(C603,customers!$A$1:$A$1001,customers!$G$1:$G$1001,,0)</f>
        <v>United States</v>
      </c>
      <c r="J603" s="2" t="str">
        <f>_xlfn.XLOOKUP(Orders[[#This Row],[Customer ID]],customers!$A$1:$A$1001,customers!$F$1:$F$1001,,0)</f>
        <v>Migrate</v>
      </c>
      <c r="K603" t="str">
        <f>INDEX(products!$A$1:$G$49,MATCH(orders!$D603,products!$A$1:$A$49,0),MATCH(orders!K$1,products!$A$1:$G$1,0))</f>
        <v>Rob</v>
      </c>
      <c r="L603" t="str">
        <f>INDEX(products!$A$1:$G$49,MATCH(orders!$D603,products!$A$1:$A$49,0),MATCH(orders!L$1,products!$A$1:$G$1,0))</f>
        <v>L</v>
      </c>
      <c r="M603" s="14">
        <f>INDEX(products!$A$1:$G$49,MATCH(orders!$D603,products!$A$1:$A$49,0),MATCH(orders!M$1,products!$A$1:$G$1,0))</f>
        <v>2.5</v>
      </c>
      <c r="N603" s="4">
        <f>INDEX(products!$A$1:$G$49,MATCH(orders!$D603,products!$A$1:$A$49,0),MATCH(orders!N$1,products!$A$1:$G$1,0))</f>
        <v>27.484999999999996</v>
      </c>
      <c r="O603" s="13">
        <f t="shared" si="45"/>
        <v>109.93999999999998</v>
      </c>
      <c r="P603" s="13">
        <f>_xlfn.XLOOKUP(Orders[[#This Row],[Product ID]],products!$A$1:$A$49,products!$G$1:$G$49,,0)</f>
        <v>1.6490999999999998</v>
      </c>
      <c r="Q603" s="13">
        <f t="shared" si="46"/>
        <v>6.5963999999999992</v>
      </c>
      <c r="R603" t="str">
        <f t="shared" si="48"/>
        <v>Robusta</v>
      </c>
      <c r="S603" t="str">
        <f t="shared" si="49"/>
        <v>Light</v>
      </c>
      <c r="T603" t="str">
        <f>_xlfn.XLOOKUP(Orders[[#This Row],[Customer ID]],customers!$A$1:$A$1001,customers!$I$1:$I$1001,,0)</f>
        <v>Yes</v>
      </c>
    </row>
    <row r="604" spans="1:20" x14ac:dyDescent="0.35">
      <c r="A604" s="2" t="s">
        <v>3889</v>
      </c>
      <c r="B604" s="3">
        <v>43603</v>
      </c>
      <c r="C604" s="2" t="s">
        <v>3890</v>
      </c>
      <c r="D604" t="s">
        <v>6184</v>
      </c>
      <c r="E604" t="str">
        <f t="shared" si="47"/>
        <v>Excelsa-Light-0.2</v>
      </c>
      <c r="F604" s="2">
        <v>5</v>
      </c>
      <c r="G604" s="2" t="str" cm="1">
        <f t="array" ref="G604">_xlfn.XLOOKUP(C604, customers!$A$1:A1603,customers!$B$1:B1603,,0)</f>
        <v>Emalee Rolin</v>
      </c>
      <c r="H604" s="2" t="str" cm="1">
        <f t="array" ref="H604">IF(_xlfn.XLOOKUP(C604,customers!$A$1:A1603,customers!$C$1:C1603,,0) = 0,"", _xlfn.XLOOKUP(C604,customers!$A$1:A1603,customers!$C$1:C1603,,0))</f>
        <v>erolingq@google.fr</v>
      </c>
      <c r="I604" s="2" t="str">
        <f>_xlfn.XLOOKUP(C604,customers!$A$1:$A$1001,customers!$G$1:$G$1001,,0)</f>
        <v>United States</v>
      </c>
      <c r="J604" s="2" t="str">
        <f>_xlfn.XLOOKUP(Orders[[#This Row],[Customer ID]],customers!$A$1:$A$1001,customers!$F$1:$F$1001,,0)</f>
        <v>Toledo</v>
      </c>
      <c r="K604" t="str">
        <f>INDEX(products!$A$1:$G$49,MATCH(orders!$D604,products!$A$1:$A$49,0),MATCH(orders!K$1,products!$A$1:$G$1,0))</f>
        <v>Exc</v>
      </c>
      <c r="L604" t="str">
        <f>INDEX(products!$A$1:$G$49,MATCH(orders!$D604,products!$A$1:$A$49,0),MATCH(orders!L$1,products!$A$1:$G$1,0))</f>
        <v>L</v>
      </c>
      <c r="M604" s="14">
        <f>INDEX(products!$A$1:$G$49,MATCH(orders!$D604,products!$A$1:$A$49,0),MATCH(orders!M$1,products!$A$1:$G$1,0))</f>
        <v>0.2</v>
      </c>
      <c r="N604" s="4">
        <f>INDEX(products!$A$1:$G$49,MATCH(orders!$D604,products!$A$1:$A$49,0),MATCH(orders!N$1,products!$A$1:$G$1,0))</f>
        <v>4.4550000000000001</v>
      </c>
      <c r="O604" s="13">
        <f t="shared" si="45"/>
        <v>22.274999999999999</v>
      </c>
      <c r="P604" s="13">
        <f>_xlfn.XLOOKUP(Orders[[#This Row],[Product ID]],products!$A$1:$A$49,products!$G$1:$G$49,,0)</f>
        <v>0.49004999999999999</v>
      </c>
      <c r="Q604" s="13">
        <f t="shared" si="46"/>
        <v>2.45025</v>
      </c>
      <c r="R604" t="str">
        <f t="shared" si="48"/>
        <v>Execelsa</v>
      </c>
      <c r="S604" t="str">
        <f t="shared" si="49"/>
        <v>Light</v>
      </c>
      <c r="T604" t="str">
        <f>_xlfn.XLOOKUP(Orders[[#This Row],[Customer ID]],customers!$A$1:$A$1001,customers!$I$1:$I$1001,,0)</f>
        <v>Yes</v>
      </c>
    </row>
    <row r="605" spans="1:20" x14ac:dyDescent="0.35">
      <c r="A605" s="2" t="s">
        <v>3895</v>
      </c>
      <c r="B605" s="3">
        <v>43660</v>
      </c>
      <c r="C605" s="2" t="s">
        <v>3896</v>
      </c>
      <c r="D605" t="s">
        <v>6174</v>
      </c>
      <c r="E605" t="str">
        <f t="shared" si="47"/>
        <v>Robusta-Medium-0.2</v>
      </c>
      <c r="F605" s="2">
        <v>3</v>
      </c>
      <c r="G605" s="2" t="str" cm="1">
        <f t="array" ref="G605">_xlfn.XLOOKUP(C605, customers!$A$1:A1604,customers!$B$1:B1604,,0)</f>
        <v>Donavon Fowle</v>
      </c>
      <c r="H605" s="2" t="str" cm="1">
        <f t="array" ref="H605">IF(_xlfn.XLOOKUP(C605,customers!$A$1:A1604,customers!$C$1:C1604,,0) = 0,"", _xlfn.XLOOKUP(C605,customers!$A$1:A1604,customers!$C$1:C1604,,0))</f>
        <v>dfowlegr@epa.gov</v>
      </c>
      <c r="I605" s="2" t="str">
        <f>_xlfn.XLOOKUP(C605,customers!$A$1:$A$1001,customers!$G$1:$G$1001,,0)</f>
        <v>United States</v>
      </c>
      <c r="J605" s="2" t="str">
        <f>_xlfn.XLOOKUP(Orders[[#This Row],[Customer ID]],customers!$A$1:$A$1001,customers!$F$1:$F$1001,,0)</f>
        <v>Colorado Springs</v>
      </c>
      <c r="K605" t="str">
        <f>INDEX(products!$A$1:$G$49,MATCH(orders!$D605,products!$A$1:$A$49,0),MATCH(orders!K$1,products!$A$1:$G$1,0))</f>
        <v>Rob</v>
      </c>
      <c r="L605" t="str">
        <f>INDEX(products!$A$1:$G$49,MATCH(orders!$D605,products!$A$1:$A$49,0),MATCH(orders!L$1,products!$A$1:$G$1,0))</f>
        <v>M</v>
      </c>
      <c r="M605" s="14">
        <f>INDEX(products!$A$1:$G$49,MATCH(orders!$D605,products!$A$1:$A$49,0),MATCH(orders!M$1,products!$A$1:$G$1,0))</f>
        <v>0.2</v>
      </c>
      <c r="N605" s="4">
        <f>INDEX(products!$A$1:$G$49,MATCH(orders!$D605,products!$A$1:$A$49,0),MATCH(orders!N$1,products!$A$1:$G$1,0))</f>
        <v>2.9849999999999999</v>
      </c>
      <c r="O605" s="13">
        <f t="shared" si="45"/>
        <v>8.9550000000000001</v>
      </c>
      <c r="P605" s="13">
        <f>_xlfn.XLOOKUP(Orders[[#This Row],[Product ID]],products!$A$1:$A$49,products!$G$1:$G$49,,0)</f>
        <v>0.17909999999999998</v>
      </c>
      <c r="Q605" s="13">
        <f t="shared" si="46"/>
        <v>0.53729999999999989</v>
      </c>
      <c r="R605" t="str">
        <f t="shared" si="48"/>
        <v>Robusta</v>
      </c>
      <c r="S605" t="str">
        <f t="shared" si="49"/>
        <v>Medium</v>
      </c>
      <c r="T605" t="str">
        <f>_xlfn.XLOOKUP(Orders[[#This Row],[Customer ID]],customers!$A$1:$A$1001,customers!$I$1:$I$1001,,0)</f>
        <v>No</v>
      </c>
    </row>
    <row r="606" spans="1:20" x14ac:dyDescent="0.35">
      <c r="A606" s="2" t="s">
        <v>3900</v>
      </c>
      <c r="B606" s="3">
        <v>44148</v>
      </c>
      <c r="C606" s="2" t="s">
        <v>3901</v>
      </c>
      <c r="D606" t="s">
        <v>6165</v>
      </c>
      <c r="E606" t="str">
        <f t="shared" si="47"/>
        <v>Liberica-Dark-2.5</v>
      </c>
      <c r="F606" s="2">
        <v>4</v>
      </c>
      <c r="G606" s="2" t="str" cm="1">
        <f t="array" ref="G606">_xlfn.XLOOKUP(C606, customers!$A$1:A1605,customers!$B$1:B1605,,0)</f>
        <v>Jorge Bettison</v>
      </c>
      <c r="H606" s="2" t="str" cm="1">
        <f t="array" ref="H606">IF(_xlfn.XLOOKUP(C606,customers!$A$1:A1605,customers!$C$1:C1605,,0) = 0,"", _xlfn.XLOOKUP(C606,customers!$A$1:A1605,customers!$C$1:C1605,,0))</f>
        <v/>
      </c>
      <c r="I606" s="2" t="str">
        <f>_xlfn.XLOOKUP(C606,customers!$A$1:$A$1001,customers!$G$1:$G$1001,,0)</f>
        <v>Ireland</v>
      </c>
      <c r="J606" s="2" t="str">
        <f>_xlfn.XLOOKUP(Orders[[#This Row],[Customer ID]],customers!$A$1:$A$1001,customers!$F$1:$F$1001,,0)</f>
        <v>Longwood</v>
      </c>
      <c r="K606" t="str">
        <f>INDEX(products!$A$1:$G$49,MATCH(orders!$D606,products!$A$1:$A$49,0),MATCH(orders!K$1,products!$A$1:$G$1,0))</f>
        <v>Lib</v>
      </c>
      <c r="L606" t="str">
        <f>INDEX(products!$A$1:$G$49,MATCH(orders!$D606,products!$A$1:$A$49,0),MATCH(orders!L$1,products!$A$1:$G$1,0))</f>
        <v>D</v>
      </c>
      <c r="M606" s="14">
        <f>INDEX(products!$A$1:$G$49,MATCH(orders!$D606,products!$A$1:$A$49,0),MATCH(orders!M$1,products!$A$1:$G$1,0))</f>
        <v>2.5</v>
      </c>
      <c r="N606" s="4">
        <f>INDEX(products!$A$1:$G$49,MATCH(orders!$D606,products!$A$1:$A$49,0),MATCH(orders!N$1,products!$A$1:$G$1,0))</f>
        <v>29.784999999999997</v>
      </c>
      <c r="O606" s="13">
        <f t="shared" si="45"/>
        <v>119.13999999999999</v>
      </c>
      <c r="P606" s="13">
        <f>_xlfn.XLOOKUP(Orders[[#This Row],[Product ID]],products!$A$1:$A$49,products!$G$1:$G$49,,0)</f>
        <v>3.8720499999999998</v>
      </c>
      <c r="Q606" s="13">
        <f t="shared" si="46"/>
        <v>15.488199999999999</v>
      </c>
      <c r="R606" t="str">
        <f t="shared" si="48"/>
        <v>Liberica</v>
      </c>
      <c r="S606" t="str">
        <f t="shared" si="49"/>
        <v>Dark</v>
      </c>
      <c r="T606" t="str">
        <f>_xlfn.XLOOKUP(Orders[[#This Row],[Customer ID]],customers!$A$1:$A$1001,customers!$I$1:$I$1001,,0)</f>
        <v>No</v>
      </c>
    </row>
    <row r="607" spans="1:20" x14ac:dyDescent="0.35">
      <c r="A607" s="2" t="s">
        <v>3905</v>
      </c>
      <c r="B607" s="3">
        <v>44028</v>
      </c>
      <c r="C607" s="2" t="s">
        <v>3906</v>
      </c>
      <c r="D607" t="s">
        <v>6182</v>
      </c>
      <c r="E607" t="str">
        <f t="shared" si="47"/>
        <v>Arabica-Light-2.5</v>
      </c>
      <c r="F607" s="2">
        <v>5</v>
      </c>
      <c r="G607" s="2" t="str" cm="1">
        <f t="array" ref="G607">_xlfn.XLOOKUP(C607, customers!$A$1:A1606,customers!$B$1:B1606,,0)</f>
        <v>Wang Powlesland</v>
      </c>
      <c r="H607" s="2" t="str" cm="1">
        <f t="array" ref="H607">IF(_xlfn.XLOOKUP(C607,customers!$A$1:A1606,customers!$C$1:C1606,,0) = 0,"", _xlfn.XLOOKUP(C607,customers!$A$1:A1606,customers!$C$1:C1606,,0))</f>
        <v>wpowleslandgt@soundcloud.com</v>
      </c>
      <c r="I607" s="2" t="str">
        <f>_xlfn.XLOOKUP(C607,customers!$A$1:$A$1001,customers!$G$1:$G$1001,,0)</f>
        <v>United States</v>
      </c>
      <c r="J607" s="2" t="str">
        <f>_xlfn.XLOOKUP(Orders[[#This Row],[Customer ID]],customers!$A$1:$A$1001,customers!$F$1:$F$1001,,0)</f>
        <v>Pittsburgh</v>
      </c>
      <c r="K607" t="str">
        <f>INDEX(products!$A$1:$G$49,MATCH(orders!$D607,products!$A$1:$A$49,0),MATCH(orders!K$1,products!$A$1:$G$1,0))</f>
        <v>Ara</v>
      </c>
      <c r="L607" t="str">
        <f>INDEX(products!$A$1:$G$49,MATCH(orders!$D607,products!$A$1:$A$49,0),MATCH(orders!L$1,products!$A$1:$G$1,0))</f>
        <v>L</v>
      </c>
      <c r="M607" s="14">
        <f>INDEX(products!$A$1:$G$49,MATCH(orders!$D607,products!$A$1:$A$49,0),MATCH(orders!M$1,products!$A$1:$G$1,0))</f>
        <v>2.5</v>
      </c>
      <c r="N607" s="4">
        <f>INDEX(products!$A$1:$G$49,MATCH(orders!$D607,products!$A$1:$A$49,0),MATCH(orders!N$1,products!$A$1:$G$1,0))</f>
        <v>29.784999999999997</v>
      </c>
      <c r="O607" s="13">
        <f t="shared" si="45"/>
        <v>148.92499999999998</v>
      </c>
      <c r="P607" s="13">
        <f>_xlfn.XLOOKUP(Orders[[#This Row],[Product ID]],products!$A$1:$A$49,products!$G$1:$G$49,,0)</f>
        <v>2.6806499999999995</v>
      </c>
      <c r="Q607" s="13">
        <f t="shared" si="46"/>
        <v>13.403249999999998</v>
      </c>
      <c r="R607" t="str">
        <f t="shared" si="48"/>
        <v>Arabica</v>
      </c>
      <c r="S607" t="str">
        <f t="shared" si="49"/>
        <v>Light</v>
      </c>
      <c r="T607" t="str">
        <f>_xlfn.XLOOKUP(Orders[[#This Row],[Customer ID]],customers!$A$1:$A$1001,customers!$I$1:$I$1001,,0)</f>
        <v>Yes</v>
      </c>
    </row>
    <row r="608" spans="1:20" x14ac:dyDescent="0.35">
      <c r="A608" s="2" t="s">
        <v>3911</v>
      </c>
      <c r="B608" s="3">
        <v>44138</v>
      </c>
      <c r="C608" s="2" t="s">
        <v>3840</v>
      </c>
      <c r="D608" t="s">
        <v>6164</v>
      </c>
      <c r="E608" t="str">
        <f t="shared" si="47"/>
        <v>Liberica-Light-2.5</v>
      </c>
      <c r="F608" s="2">
        <v>3</v>
      </c>
      <c r="G608" s="2" t="str" cm="1">
        <f t="array" ref="G608">_xlfn.XLOOKUP(C608, customers!$A$1:A1607,customers!$B$1:B1607,,0)</f>
        <v>Cody Verissimo</v>
      </c>
      <c r="H608" s="2" t="str" cm="1">
        <f t="array" ref="H608">IF(_xlfn.XLOOKUP(C608,customers!$A$1:A1607,customers!$C$1:C1607,,0) = 0,"", _xlfn.XLOOKUP(C608,customers!$A$1:A1607,customers!$C$1:C1607,,0))</f>
        <v>cverissimogh@theglobeandmail.com</v>
      </c>
      <c r="I608" s="2" t="str">
        <f>_xlfn.XLOOKUP(C608,customers!$A$1:$A$1001,customers!$G$1:$G$1001,,0)</f>
        <v>United Kingdom</v>
      </c>
      <c r="J608" s="2" t="str">
        <f>_xlfn.XLOOKUP(Orders[[#This Row],[Customer ID]],customers!$A$1:$A$1001,customers!$F$1:$F$1001,,0)</f>
        <v>Upton</v>
      </c>
      <c r="K608" t="str">
        <f>INDEX(products!$A$1:$G$49,MATCH(orders!$D608,products!$A$1:$A$49,0),MATCH(orders!K$1,products!$A$1:$G$1,0))</f>
        <v>Lib</v>
      </c>
      <c r="L608" t="str">
        <f>INDEX(products!$A$1:$G$49,MATCH(orders!$D608,products!$A$1:$A$49,0),MATCH(orders!L$1,products!$A$1:$G$1,0))</f>
        <v>L</v>
      </c>
      <c r="M608" s="14">
        <f>INDEX(products!$A$1:$G$49,MATCH(orders!$D608,products!$A$1:$A$49,0),MATCH(orders!M$1,products!$A$1:$G$1,0))</f>
        <v>2.5</v>
      </c>
      <c r="N608" s="4">
        <f>INDEX(products!$A$1:$G$49,MATCH(orders!$D608,products!$A$1:$A$49,0),MATCH(orders!N$1,products!$A$1:$G$1,0))</f>
        <v>36.454999999999998</v>
      </c>
      <c r="O608" s="13">
        <f t="shared" si="45"/>
        <v>109.36499999999999</v>
      </c>
      <c r="P608" s="13">
        <f>_xlfn.XLOOKUP(Orders[[#This Row],[Product ID]],products!$A$1:$A$49,products!$G$1:$G$49,,0)</f>
        <v>4.7391499999999995</v>
      </c>
      <c r="Q608" s="13">
        <f t="shared" si="46"/>
        <v>14.217449999999999</v>
      </c>
      <c r="R608" t="str">
        <f t="shared" si="48"/>
        <v>Liberica</v>
      </c>
      <c r="S608" t="str">
        <f t="shared" si="49"/>
        <v>Light</v>
      </c>
      <c r="T608" t="str">
        <f>_xlfn.XLOOKUP(Orders[[#This Row],[Customer ID]],customers!$A$1:$A$1001,customers!$I$1:$I$1001,,0)</f>
        <v>Yes</v>
      </c>
    </row>
    <row r="609" spans="1:20" x14ac:dyDescent="0.35">
      <c r="A609" s="2" t="s">
        <v>3917</v>
      </c>
      <c r="B609" s="3">
        <v>44640</v>
      </c>
      <c r="C609" s="2" t="s">
        <v>3918</v>
      </c>
      <c r="D609" t="s">
        <v>6153</v>
      </c>
      <c r="E609" t="str">
        <f t="shared" si="47"/>
        <v>Excelsa-Dark-0.2</v>
      </c>
      <c r="F609" s="2">
        <v>1</v>
      </c>
      <c r="G609" s="2" t="str" cm="1">
        <f t="array" ref="G609">_xlfn.XLOOKUP(C609, customers!$A$1:A1608,customers!$B$1:B1608,,0)</f>
        <v>Laurence Ellingham</v>
      </c>
      <c r="H609" s="2" t="str" cm="1">
        <f t="array" ref="H609">IF(_xlfn.XLOOKUP(C609,customers!$A$1:A1608,customers!$C$1:C1608,,0) = 0,"", _xlfn.XLOOKUP(C609,customers!$A$1:A1608,customers!$C$1:C1608,,0))</f>
        <v>lellinghamgv@sciencedaily.com</v>
      </c>
      <c r="I609" s="2" t="str">
        <f>_xlfn.XLOOKUP(C609,customers!$A$1:$A$1001,customers!$G$1:$G$1001,,0)</f>
        <v>United States</v>
      </c>
      <c r="J609" s="2" t="str">
        <f>_xlfn.XLOOKUP(Orders[[#This Row],[Customer ID]],customers!$A$1:$A$1001,customers!$F$1:$F$1001,,0)</f>
        <v>Shreveport</v>
      </c>
      <c r="K609" t="str">
        <f>INDEX(products!$A$1:$G$49,MATCH(orders!$D609,products!$A$1:$A$49,0),MATCH(orders!K$1,products!$A$1:$G$1,0))</f>
        <v>Exc</v>
      </c>
      <c r="L609" t="str">
        <f>INDEX(products!$A$1:$G$49,MATCH(orders!$D609,products!$A$1:$A$49,0),MATCH(orders!L$1,products!$A$1:$G$1,0))</f>
        <v>D</v>
      </c>
      <c r="M609" s="14">
        <f>INDEX(products!$A$1:$G$49,MATCH(orders!$D609,products!$A$1:$A$49,0),MATCH(orders!M$1,products!$A$1:$G$1,0))</f>
        <v>0.2</v>
      </c>
      <c r="N609" s="4">
        <f>INDEX(products!$A$1:$G$49,MATCH(orders!$D609,products!$A$1:$A$49,0),MATCH(orders!N$1,products!$A$1:$G$1,0))</f>
        <v>3.645</v>
      </c>
      <c r="O609" s="13">
        <f t="shared" si="45"/>
        <v>3.645</v>
      </c>
      <c r="P609" s="13">
        <f>_xlfn.XLOOKUP(Orders[[#This Row],[Product ID]],products!$A$1:$A$49,products!$G$1:$G$49,,0)</f>
        <v>0.40095000000000003</v>
      </c>
      <c r="Q609" s="13">
        <f t="shared" si="46"/>
        <v>0.40095000000000003</v>
      </c>
      <c r="R609" t="str">
        <f t="shared" si="48"/>
        <v>Execelsa</v>
      </c>
      <c r="S609" t="str">
        <f t="shared" si="49"/>
        <v>Dark</v>
      </c>
      <c r="T609" t="str">
        <f>_xlfn.XLOOKUP(Orders[[#This Row],[Customer ID]],customers!$A$1:$A$1001,customers!$I$1:$I$1001,,0)</f>
        <v>Yes</v>
      </c>
    </row>
    <row r="610" spans="1:20" x14ac:dyDescent="0.35">
      <c r="A610" s="2" t="s">
        <v>3923</v>
      </c>
      <c r="B610" s="3">
        <v>44608</v>
      </c>
      <c r="C610" s="2" t="s">
        <v>3924</v>
      </c>
      <c r="D610" t="s">
        <v>6185</v>
      </c>
      <c r="E610" t="str">
        <f t="shared" si="47"/>
        <v>Excelsa-Dark-2.5</v>
      </c>
      <c r="F610" s="2">
        <v>2</v>
      </c>
      <c r="G610" s="2" t="str" cm="1">
        <f t="array" ref="G610">_xlfn.XLOOKUP(C610, customers!$A$1:A1609,customers!$B$1:B1609,,0)</f>
        <v>Billy Neiland</v>
      </c>
      <c r="H610" s="2" t="str" cm="1">
        <f t="array" ref="H610">IF(_xlfn.XLOOKUP(C610,customers!$A$1:A1609,customers!$C$1:C1609,,0) = 0,"", _xlfn.XLOOKUP(C610,customers!$A$1:A1609,customers!$C$1:C1609,,0))</f>
        <v/>
      </c>
      <c r="I610" s="2" t="str">
        <f>_xlfn.XLOOKUP(C610,customers!$A$1:$A$1001,customers!$G$1:$G$1001,,0)</f>
        <v>United States</v>
      </c>
      <c r="J610" s="2" t="str">
        <f>_xlfn.XLOOKUP(Orders[[#This Row],[Customer ID]],customers!$A$1:$A$1001,customers!$F$1:$F$1001,,0)</f>
        <v>Cleveland</v>
      </c>
      <c r="K610" t="str">
        <f>INDEX(products!$A$1:$G$49,MATCH(orders!$D610,products!$A$1:$A$49,0),MATCH(orders!K$1,products!$A$1:$G$1,0))</f>
        <v>Exc</v>
      </c>
      <c r="L610" t="str">
        <f>INDEX(products!$A$1:$G$49,MATCH(orders!$D610,products!$A$1:$A$49,0),MATCH(orders!L$1,products!$A$1:$G$1,0))</f>
        <v>D</v>
      </c>
      <c r="M610" s="14">
        <f>INDEX(products!$A$1:$G$49,MATCH(orders!$D610,products!$A$1:$A$49,0),MATCH(orders!M$1,products!$A$1:$G$1,0))</f>
        <v>2.5</v>
      </c>
      <c r="N610" s="4">
        <f>INDEX(products!$A$1:$G$49,MATCH(orders!$D610,products!$A$1:$A$49,0),MATCH(orders!N$1,products!$A$1:$G$1,0))</f>
        <v>27.945</v>
      </c>
      <c r="O610" s="13">
        <f t="shared" si="45"/>
        <v>55.89</v>
      </c>
      <c r="P610" s="13">
        <f>_xlfn.XLOOKUP(Orders[[#This Row],[Product ID]],products!$A$1:$A$49,products!$G$1:$G$49,,0)</f>
        <v>3.07395</v>
      </c>
      <c r="Q610" s="13">
        <f t="shared" si="46"/>
        <v>6.1478999999999999</v>
      </c>
      <c r="R610" t="str">
        <f t="shared" si="48"/>
        <v>Execelsa</v>
      </c>
      <c r="S610" t="str">
        <f t="shared" si="49"/>
        <v>Dark</v>
      </c>
      <c r="T610" t="str">
        <f>_xlfn.XLOOKUP(Orders[[#This Row],[Customer ID]],customers!$A$1:$A$1001,customers!$I$1:$I$1001,,0)</f>
        <v>No</v>
      </c>
    </row>
    <row r="611" spans="1:20" x14ac:dyDescent="0.35">
      <c r="A611" s="2" t="s">
        <v>3927</v>
      </c>
      <c r="B611" s="3">
        <v>44147</v>
      </c>
      <c r="C611" s="2" t="s">
        <v>3928</v>
      </c>
      <c r="D611" t="s">
        <v>6159</v>
      </c>
      <c r="E611" t="str">
        <f t="shared" si="47"/>
        <v>Liberica-Medium-0.2</v>
      </c>
      <c r="F611" s="2">
        <v>6</v>
      </c>
      <c r="G611" s="2" t="str" cm="1">
        <f t="array" ref="G611">_xlfn.XLOOKUP(C611, customers!$A$1:A1610,customers!$B$1:B1610,,0)</f>
        <v>Ancell Fendt</v>
      </c>
      <c r="H611" s="2" t="str" cm="1">
        <f t="array" ref="H611">IF(_xlfn.XLOOKUP(C611,customers!$A$1:A1610,customers!$C$1:C1610,,0) = 0,"", _xlfn.XLOOKUP(C611,customers!$A$1:A1610,customers!$C$1:C1610,,0))</f>
        <v>afendtgx@forbes.com</v>
      </c>
      <c r="I611" s="2" t="str">
        <f>_xlfn.XLOOKUP(C611,customers!$A$1:$A$1001,customers!$G$1:$G$1001,,0)</f>
        <v>United States</v>
      </c>
      <c r="J611" s="2" t="str">
        <f>_xlfn.XLOOKUP(Orders[[#This Row],[Customer ID]],customers!$A$1:$A$1001,customers!$F$1:$F$1001,,0)</f>
        <v>Milwaukee</v>
      </c>
      <c r="K611" t="str">
        <f>INDEX(products!$A$1:$G$49,MATCH(orders!$D611,products!$A$1:$A$49,0),MATCH(orders!K$1,products!$A$1:$G$1,0))</f>
        <v>Lib</v>
      </c>
      <c r="L611" t="str">
        <f>INDEX(products!$A$1:$G$49,MATCH(orders!$D611,products!$A$1:$A$49,0),MATCH(orders!L$1,products!$A$1:$G$1,0))</f>
        <v>M</v>
      </c>
      <c r="M611" s="14">
        <f>INDEX(products!$A$1:$G$49,MATCH(orders!$D611,products!$A$1:$A$49,0),MATCH(orders!M$1,products!$A$1:$G$1,0))</f>
        <v>0.2</v>
      </c>
      <c r="N611" s="4">
        <f>INDEX(products!$A$1:$G$49,MATCH(orders!$D611,products!$A$1:$A$49,0),MATCH(orders!N$1,products!$A$1:$G$1,0))</f>
        <v>4.3650000000000002</v>
      </c>
      <c r="O611" s="13">
        <f t="shared" si="45"/>
        <v>26.19</v>
      </c>
      <c r="P611" s="13">
        <f>_xlfn.XLOOKUP(Orders[[#This Row],[Product ID]],products!$A$1:$A$49,products!$G$1:$G$49,,0)</f>
        <v>0.56745000000000001</v>
      </c>
      <c r="Q611" s="13">
        <f t="shared" si="46"/>
        <v>3.4047000000000001</v>
      </c>
      <c r="R611" t="str">
        <f t="shared" si="48"/>
        <v>Liberica</v>
      </c>
      <c r="S611" t="str">
        <f t="shared" si="49"/>
        <v>Medium</v>
      </c>
      <c r="T611" t="str">
        <f>_xlfn.XLOOKUP(Orders[[#This Row],[Customer ID]],customers!$A$1:$A$1001,customers!$I$1:$I$1001,,0)</f>
        <v>Yes</v>
      </c>
    </row>
    <row r="612" spans="1:20" x14ac:dyDescent="0.35">
      <c r="A612" s="2" t="s">
        <v>3933</v>
      </c>
      <c r="B612" s="3">
        <v>43743</v>
      </c>
      <c r="C612" s="2" t="s">
        <v>3934</v>
      </c>
      <c r="D612" t="s">
        <v>6138</v>
      </c>
      <c r="E612" t="str">
        <f t="shared" si="47"/>
        <v>Robusta-Medium-1</v>
      </c>
      <c r="F612" s="2">
        <v>4</v>
      </c>
      <c r="G612" s="2" t="str" cm="1">
        <f t="array" ref="G612">_xlfn.XLOOKUP(C612, customers!$A$1:A1611,customers!$B$1:B1611,,0)</f>
        <v>Angelia Cleyburn</v>
      </c>
      <c r="H612" s="2" t="str" cm="1">
        <f t="array" ref="H612">IF(_xlfn.XLOOKUP(C612,customers!$A$1:A1611,customers!$C$1:C1611,,0) = 0,"", _xlfn.XLOOKUP(C612,customers!$A$1:A1611,customers!$C$1:C1611,,0))</f>
        <v>acleyburngy@lycos.com</v>
      </c>
      <c r="I612" s="2" t="str">
        <f>_xlfn.XLOOKUP(C612,customers!$A$1:$A$1001,customers!$G$1:$G$1001,,0)</f>
        <v>United States</v>
      </c>
      <c r="J612" s="2" t="str">
        <f>_xlfn.XLOOKUP(Orders[[#This Row],[Customer ID]],customers!$A$1:$A$1001,customers!$F$1:$F$1001,,0)</f>
        <v>Fort Lauderdale</v>
      </c>
      <c r="K612" t="str">
        <f>INDEX(products!$A$1:$G$49,MATCH(orders!$D612,products!$A$1:$A$49,0),MATCH(orders!K$1,products!$A$1:$G$1,0))</f>
        <v>Rob</v>
      </c>
      <c r="L612" t="str">
        <f>INDEX(products!$A$1:$G$49,MATCH(orders!$D612,products!$A$1:$A$49,0),MATCH(orders!L$1,products!$A$1:$G$1,0))</f>
        <v>M</v>
      </c>
      <c r="M612" s="14">
        <f>INDEX(products!$A$1:$G$49,MATCH(orders!$D612,products!$A$1:$A$49,0),MATCH(orders!M$1,products!$A$1:$G$1,0))</f>
        <v>1</v>
      </c>
      <c r="N612" s="4">
        <f>INDEX(products!$A$1:$G$49,MATCH(orders!$D612,products!$A$1:$A$49,0),MATCH(orders!N$1,products!$A$1:$G$1,0))</f>
        <v>9.9499999999999993</v>
      </c>
      <c r="O612" s="13">
        <f t="shared" si="45"/>
        <v>39.799999999999997</v>
      </c>
      <c r="P612" s="13">
        <f>_xlfn.XLOOKUP(Orders[[#This Row],[Product ID]],products!$A$1:$A$49,products!$G$1:$G$49,,0)</f>
        <v>0.59699999999999998</v>
      </c>
      <c r="Q612" s="13">
        <f t="shared" si="46"/>
        <v>2.3879999999999999</v>
      </c>
      <c r="R612" t="str">
        <f t="shared" si="48"/>
        <v>Robusta</v>
      </c>
      <c r="S612" t="str">
        <f t="shared" si="49"/>
        <v>Medium</v>
      </c>
      <c r="T612" t="str">
        <f>_xlfn.XLOOKUP(Orders[[#This Row],[Customer ID]],customers!$A$1:$A$1001,customers!$I$1:$I$1001,,0)</f>
        <v>No</v>
      </c>
    </row>
    <row r="613" spans="1:20" x14ac:dyDescent="0.35">
      <c r="A613" s="2" t="s">
        <v>3939</v>
      </c>
      <c r="B613" s="3">
        <v>43739</v>
      </c>
      <c r="C613" s="2" t="s">
        <v>3940</v>
      </c>
      <c r="D613" t="s">
        <v>6148</v>
      </c>
      <c r="E613" t="str">
        <f t="shared" si="47"/>
        <v>Excelsa-Light-2.5</v>
      </c>
      <c r="F613" s="2">
        <v>2</v>
      </c>
      <c r="G613" s="2" t="str" cm="1">
        <f t="array" ref="G613">_xlfn.XLOOKUP(C613, customers!$A$1:A1612,customers!$B$1:B1612,,0)</f>
        <v>Temple Castiglione</v>
      </c>
      <c r="H613" s="2" t="str" cm="1">
        <f t="array" ref="H613">IF(_xlfn.XLOOKUP(C613,customers!$A$1:A1612,customers!$C$1:C1612,,0) = 0,"", _xlfn.XLOOKUP(C613,customers!$A$1:A1612,customers!$C$1:C1612,,0))</f>
        <v>tcastiglionegz@xing.com</v>
      </c>
      <c r="I613" s="2" t="str">
        <f>_xlfn.XLOOKUP(C613,customers!$A$1:$A$1001,customers!$G$1:$G$1001,,0)</f>
        <v>United States</v>
      </c>
      <c r="J613" s="2" t="str">
        <f>_xlfn.XLOOKUP(Orders[[#This Row],[Customer ID]],customers!$A$1:$A$1001,customers!$F$1:$F$1001,,0)</f>
        <v>Shreveport</v>
      </c>
      <c r="K613" t="str">
        <f>INDEX(products!$A$1:$G$49,MATCH(orders!$D613,products!$A$1:$A$49,0),MATCH(orders!K$1,products!$A$1:$G$1,0))</f>
        <v>Exc</v>
      </c>
      <c r="L613" t="str">
        <f>INDEX(products!$A$1:$G$49,MATCH(orders!$D613,products!$A$1:$A$49,0),MATCH(orders!L$1,products!$A$1:$G$1,0))</f>
        <v>L</v>
      </c>
      <c r="M613" s="14">
        <f>INDEX(products!$A$1:$G$49,MATCH(orders!$D613,products!$A$1:$A$49,0),MATCH(orders!M$1,products!$A$1:$G$1,0))</f>
        <v>2.5</v>
      </c>
      <c r="N613" s="4">
        <f>INDEX(products!$A$1:$G$49,MATCH(orders!$D613,products!$A$1:$A$49,0),MATCH(orders!N$1,products!$A$1:$G$1,0))</f>
        <v>34.154999999999994</v>
      </c>
      <c r="O613" s="13">
        <f t="shared" si="45"/>
        <v>68.309999999999988</v>
      </c>
      <c r="P613" s="13">
        <f>_xlfn.XLOOKUP(Orders[[#This Row],[Product ID]],products!$A$1:$A$49,products!$G$1:$G$49,,0)</f>
        <v>3.7570499999999996</v>
      </c>
      <c r="Q613" s="13">
        <f t="shared" si="46"/>
        <v>7.5140999999999991</v>
      </c>
      <c r="R613" t="str">
        <f t="shared" si="48"/>
        <v>Execelsa</v>
      </c>
      <c r="S613" t="str">
        <f t="shared" si="49"/>
        <v>Light</v>
      </c>
      <c r="T613" t="str">
        <f>_xlfn.XLOOKUP(Orders[[#This Row],[Customer ID]],customers!$A$1:$A$1001,customers!$I$1:$I$1001,,0)</f>
        <v>No</v>
      </c>
    </row>
    <row r="614" spans="1:20" x14ac:dyDescent="0.35">
      <c r="A614" s="2" t="s">
        <v>3945</v>
      </c>
      <c r="B614" s="3">
        <v>43896</v>
      </c>
      <c r="C614" s="2" t="s">
        <v>3946</v>
      </c>
      <c r="D614" t="s">
        <v>6152</v>
      </c>
      <c r="E614" t="str">
        <f t="shared" si="47"/>
        <v>Arabica-Medium-0.2</v>
      </c>
      <c r="F614" s="2">
        <v>4</v>
      </c>
      <c r="G614" s="2" t="str" cm="1">
        <f t="array" ref="G614">_xlfn.XLOOKUP(C614, customers!$A$1:A1613,customers!$B$1:B1613,,0)</f>
        <v>Betti Lacasa</v>
      </c>
      <c r="H614" s="2" t="str" cm="1">
        <f t="array" ref="H614">IF(_xlfn.XLOOKUP(C614,customers!$A$1:A1613,customers!$C$1:C1613,,0) = 0,"", _xlfn.XLOOKUP(C614,customers!$A$1:A1613,customers!$C$1:C1613,,0))</f>
        <v/>
      </c>
      <c r="I614" s="2" t="str">
        <f>_xlfn.XLOOKUP(C614,customers!$A$1:$A$1001,customers!$G$1:$G$1001,,0)</f>
        <v>Ireland</v>
      </c>
      <c r="J614" s="2" t="str">
        <f>_xlfn.XLOOKUP(Orders[[#This Row],[Customer ID]],customers!$A$1:$A$1001,customers!$F$1:$F$1001,,0)</f>
        <v>Beaumont</v>
      </c>
      <c r="K614" t="str">
        <f>INDEX(products!$A$1:$G$49,MATCH(orders!$D614,products!$A$1:$A$49,0),MATCH(orders!K$1,products!$A$1:$G$1,0))</f>
        <v>Ara</v>
      </c>
      <c r="L614" t="str">
        <f>INDEX(products!$A$1:$G$49,MATCH(orders!$D614,products!$A$1:$A$49,0),MATCH(orders!L$1,products!$A$1:$G$1,0))</f>
        <v>M</v>
      </c>
      <c r="M614" s="14">
        <f>INDEX(products!$A$1:$G$49,MATCH(orders!$D614,products!$A$1:$A$49,0),MATCH(orders!M$1,products!$A$1:$G$1,0))</f>
        <v>0.2</v>
      </c>
      <c r="N614" s="4">
        <f>INDEX(products!$A$1:$G$49,MATCH(orders!$D614,products!$A$1:$A$49,0),MATCH(orders!N$1,products!$A$1:$G$1,0))</f>
        <v>3.375</v>
      </c>
      <c r="O614" s="13">
        <f t="shared" si="45"/>
        <v>13.5</v>
      </c>
      <c r="P614" s="13">
        <f>_xlfn.XLOOKUP(Orders[[#This Row],[Product ID]],products!$A$1:$A$49,products!$G$1:$G$49,,0)</f>
        <v>0.30374999999999996</v>
      </c>
      <c r="Q614" s="13">
        <f t="shared" si="46"/>
        <v>1.2149999999999999</v>
      </c>
      <c r="R614" t="str">
        <f t="shared" si="48"/>
        <v>Arabica</v>
      </c>
      <c r="S614" t="str">
        <f t="shared" si="49"/>
        <v>Medium</v>
      </c>
      <c r="T614" t="str">
        <f>_xlfn.XLOOKUP(Orders[[#This Row],[Customer ID]],customers!$A$1:$A$1001,customers!$I$1:$I$1001,,0)</f>
        <v>No</v>
      </c>
    </row>
    <row r="615" spans="1:20" x14ac:dyDescent="0.35">
      <c r="A615" s="2" t="s">
        <v>3950</v>
      </c>
      <c r="B615" s="3">
        <v>43761</v>
      </c>
      <c r="C615" s="2" t="s">
        <v>3951</v>
      </c>
      <c r="D615" t="s">
        <v>6146</v>
      </c>
      <c r="E615" t="str">
        <f t="shared" si="47"/>
        <v>Robusta-Medium-0.5</v>
      </c>
      <c r="F615" s="2">
        <v>1</v>
      </c>
      <c r="G615" s="2" t="str" cm="1">
        <f t="array" ref="G615">_xlfn.XLOOKUP(C615, customers!$A$1:A1614,customers!$B$1:B1614,,0)</f>
        <v>Gunilla Lynch</v>
      </c>
      <c r="H615" s="2" t="str" cm="1">
        <f t="array" ref="H615">IF(_xlfn.XLOOKUP(C615,customers!$A$1:A1614,customers!$C$1:C1614,,0) = 0,"", _xlfn.XLOOKUP(C615,customers!$A$1:A1614,customers!$C$1:C1614,,0))</f>
        <v/>
      </c>
      <c r="I615" s="2" t="str">
        <f>_xlfn.XLOOKUP(C615,customers!$A$1:$A$1001,customers!$G$1:$G$1001,,0)</f>
        <v>United States</v>
      </c>
      <c r="J615" s="2" t="str">
        <f>_xlfn.XLOOKUP(Orders[[#This Row],[Customer ID]],customers!$A$1:$A$1001,customers!$F$1:$F$1001,,0)</f>
        <v>Sacramento</v>
      </c>
      <c r="K615" t="str">
        <f>INDEX(products!$A$1:$G$49,MATCH(orders!$D615,products!$A$1:$A$49,0),MATCH(orders!K$1,products!$A$1:$G$1,0))</f>
        <v>Rob</v>
      </c>
      <c r="L615" t="str">
        <f>INDEX(products!$A$1:$G$49,MATCH(orders!$D615,products!$A$1:$A$49,0),MATCH(orders!L$1,products!$A$1:$G$1,0))</f>
        <v>M</v>
      </c>
      <c r="M615" s="14">
        <f>INDEX(products!$A$1:$G$49,MATCH(orders!$D615,products!$A$1:$A$49,0),MATCH(orders!M$1,products!$A$1:$G$1,0))</f>
        <v>0.5</v>
      </c>
      <c r="N615" s="4">
        <f>INDEX(products!$A$1:$G$49,MATCH(orders!$D615,products!$A$1:$A$49,0),MATCH(orders!N$1,products!$A$1:$G$1,0))</f>
        <v>5.97</v>
      </c>
      <c r="O615" s="13">
        <f t="shared" si="45"/>
        <v>5.97</v>
      </c>
      <c r="P615" s="13">
        <f>_xlfn.XLOOKUP(Orders[[#This Row],[Product ID]],products!$A$1:$A$49,products!$G$1:$G$49,,0)</f>
        <v>0.35819999999999996</v>
      </c>
      <c r="Q615" s="13">
        <f t="shared" si="46"/>
        <v>0.35819999999999996</v>
      </c>
      <c r="R615" t="str">
        <f t="shared" si="48"/>
        <v>Robusta</v>
      </c>
      <c r="S615" t="str">
        <f t="shared" si="49"/>
        <v>Medium</v>
      </c>
      <c r="T615" t="str">
        <f>_xlfn.XLOOKUP(Orders[[#This Row],[Customer ID]],customers!$A$1:$A$1001,customers!$I$1:$I$1001,,0)</f>
        <v>No</v>
      </c>
    </row>
    <row r="616" spans="1:20" x14ac:dyDescent="0.35">
      <c r="A616" s="2" t="s">
        <v>3955</v>
      </c>
      <c r="B616" s="3">
        <v>43944</v>
      </c>
      <c r="C616" s="2" t="s">
        <v>3840</v>
      </c>
      <c r="D616" t="s">
        <v>6146</v>
      </c>
      <c r="E616" t="str">
        <f t="shared" si="47"/>
        <v>Robusta-Medium-0.5</v>
      </c>
      <c r="F616" s="2">
        <v>5</v>
      </c>
      <c r="G616" s="2" t="str" cm="1">
        <f t="array" ref="G616">_xlfn.XLOOKUP(C616, customers!$A$1:A1615,customers!$B$1:B1615,,0)</f>
        <v>Cody Verissimo</v>
      </c>
      <c r="H616" s="2" t="str" cm="1">
        <f t="array" ref="H616">IF(_xlfn.XLOOKUP(C616,customers!$A$1:A1615,customers!$C$1:C1615,,0) = 0,"", _xlfn.XLOOKUP(C616,customers!$A$1:A1615,customers!$C$1:C1615,,0))</f>
        <v>cverissimogh@theglobeandmail.com</v>
      </c>
      <c r="I616" s="2" t="str">
        <f>_xlfn.XLOOKUP(C616,customers!$A$1:$A$1001,customers!$G$1:$G$1001,,0)</f>
        <v>United Kingdom</v>
      </c>
      <c r="J616" s="2" t="str">
        <f>_xlfn.XLOOKUP(Orders[[#This Row],[Customer ID]],customers!$A$1:$A$1001,customers!$F$1:$F$1001,,0)</f>
        <v>Upton</v>
      </c>
      <c r="K616" t="str">
        <f>INDEX(products!$A$1:$G$49,MATCH(orders!$D616,products!$A$1:$A$49,0),MATCH(orders!K$1,products!$A$1:$G$1,0))</f>
        <v>Rob</v>
      </c>
      <c r="L616" t="str">
        <f>INDEX(products!$A$1:$G$49,MATCH(orders!$D616,products!$A$1:$A$49,0),MATCH(orders!L$1,products!$A$1:$G$1,0))</f>
        <v>M</v>
      </c>
      <c r="M616" s="14">
        <f>INDEX(products!$A$1:$G$49,MATCH(orders!$D616,products!$A$1:$A$49,0),MATCH(orders!M$1,products!$A$1:$G$1,0))</f>
        <v>0.5</v>
      </c>
      <c r="N616" s="4">
        <f>INDEX(products!$A$1:$G$49,MATCH(orders!$D616,products!$A$1:$A$49,0),MATCH(orders!N$1,products!$A$1:$G$1,0))</f>
        <v>5.97</v>
      </c>
      <c r="O616" s="13">
        <f t="shared" si="45"/>
        <v>29.849999999999998</v>
      </c>
      <c r="P616" s="13">
        <f>_xlfn.XLOOKUP(Orders[[#This Row],[Product ID]],products!$A$1:$A$49,products!$G$1:$G$49,,0)</f>
        <v>0.35819999999999996</v>
      </c>
      <c r="Q616" s="13">
        <f t="shared" si="46"/>
        <v>1.7909999999999999</v>
      </c>
      <c r="R616" t="str">
        <f t="shared" si="48"/>
        <v>Robusta</v>
      </c>
      <c r="S616" t="str">
        <f t="shared" si="49"/>
        <v>Medium</v>
      </c>
      <c r="T616" t="str">
        <f>_xlfn.XLOOKUP(Orders[[#This Row],[Customer ID]],customers!$A$1:$A$1001,customers!$I$1:$I$1001,,0)</f>
        <v>Yes</v>
      </c>
    </row>
    <row r="617" spans="1:20" x14ac:dyDescent="0.35">
      <c r="A617" s="2" t="s">
        <v>3960</v>
      </c>
      <c r="B617" s="3">
        <v>44006</v>
      </c>
      <c r="C617" s="2" t="s">
        <v>3961</v>
      </c>
      <c r="D617" t="s">
        <v>6164</v>
      </c>
      <c r="E617" t="str">
        <f t="shared" si="47"/>
        <v>Liberica-Light-2.5</v>
      </c>
      <c r="F617" s="2">
        <v>2</v>
      </c>
      <c r="G617" s="2" t="str" cm="1">
        <f t="array" ref="G617">_xlfn.XLOOKUP(C617, customers!$A$1:A1616,customers!$B$1:B1616,,0)</f>
        <v>Shay Couronne</v>
      </c>
      <c r="H617" s="2" t="str" cm="1">
        <f t="array" ref="H617">IF(_xlfn.XLOOKUP(C617,customers!$A$1:A1616,customers!$C$1:C1616,,0) = 0,"", _xlfn.XLOOKUP(C617,customers!$A$1:A1616,customers!$C$1:C1616,,0))</f>
        <v>scouronneh3@mozilla.org</v>
      </c>
      <c r="I617" s="2" t="str">
        <f>_xlfn.XLOOKUP(C617,customers!$A$1:$A$1001,customers!$G$1:$G$1001,,0)</f>
        <v>United States</v>
      </c>
      <c r="J617" s="2" t="str">
        <f>_xlfn.XLOOKUP(Orders[[#This Row],[Customer ID]],customers!$A$1:$A$1001,customers!$F$1:$F$1001,,0)</f>
        <v>Fargo</v>
      </c>
      <c r="K617" t="str">
        <f>INDEX(products!$A$1:$G$49,MATCH(orders!$D617,products!$A$1:$A$49,0),MATCH(orders!K$1,products!$A$1:$G$1,0))</f>
        <v>Lib</v>
      </c>
      <c r="L617" t="str">
        <f>INDEX(products!$A$1:$G$49,MATCH(orders!$D617,products!$A$1:$A$49,0),MATCH(orders!L$1,products!$A$1:$G$1,0))</f>
        <v>L</v>
      </c>
      <c r="M617" s="14">
        <f>INDEX(products!$A$1:$G$49,MATCH(orders!$D617,products!$A$1:$A$49,0),MATCH(orders!M$1,products!$A$1:$G$1,0))</f>
        <v>2.5</v>
      </c>
      <c r="N617" s="4">
        <f>INDEX(products!$A$1:$G$49,MATCH(orders!$D617,products!$A$1:$A$49,0),MATCH(orders!N$1,products!$A$1:$G$1,0))</f>
        <v>36.454999999999998</v>
      </c>
      <c r="O617" s="13">
        <f t="shared" si="45"/>
        <v>72.91</v>
      </c>
      <c r="P617" s="13">
        <f>_xlfn.XLOOKUP(Orders[[#This Row],[Product ID]],products!$A$1:$A$49,products!$G$1:$G$49,,0)</f>
        <v>4.7391499999999995</v>
      </c>
      <c r="Q617" s="13">
        <f t="shared" si="46"/>
        <v>9.4782999999999991</v>
      </c>
      <c r="R617" t="str">
        <f t="shared" si="48"/>
        <v>Liberica</v>
      </c>
      <c r="S617" t="str">
        <f t="shared" si="49"/>
        <v>Light</v>
      </c>
      <c r="T617" t="str">
        <f>_xlfn.XLOOKUP(Orders[[#This Row],[Customer ID]],customers!$A$1:$A$1001,customers!$I$1:$I$1001,,0)</f>
        <v>Yes</v>
      </c>
    </row>
    <row r="618" spans="1:20" x14ac:dyDescent="0.35">
      <c r="A618" s="2" t="s">
        <v>3966</v>
      </c>
      <c r="B618" s="3">
        <v>44271</v>
      </c>
      <c r="C618" s="2" t="s">
        <v>3967</v>
      </c>
      <c r="D618" t="s">
        <v>6166</v>
      </c>
      <c r="E618" t="str">
        <f t="shared" si="47"/>
        <v>Excelsa-Medium-2.5</v>
      </c>
      <c r="F618" s="2">
        <v>4</v>
      </c>
      <c r="G618" s="2" t="str" cm="1">
        <f t="array" ref="G618">_xlfn.XLOOKUP(C618, customers!$A$1:A1617,customers!$B$1:B1617,,0)</f>
        <v>Linus Flippelli</v>
      </c>
      <c r="H618" s="2" t="str" cm="1">
        <f t="array" ref="H618">IF(_xlfn.XLOOKUP(C618,customers!$A$1:A1617,customers!$C$1:C1617,,0) = 0,"", _xlfn.XLOOKUP(C618,customers!$A$1:A1617,customers!$C$1:C1617,,0))</f>
        <v>lflippellih4@github.io</v>
      </c>
      <c r="I618" s="2" t="str">
        <f>_xlfn.XLOOKUP(C618,customers!$A$1:$A$1001,customers!$G$1:$G$1001,,0)</f>
        <v>United Kingdom</v>
      </c>
      <c r="J618" s="2" t="str">
        <f>_xlfn.XLOOKUP(Orders[[#This Row],[Customer ID]],customers!$A$1:$A$1001,customers!$F$1:$F$1001,,0)</f>
        <v>Middleton</v>
      </c>
      <c r="K618" t="str">
        <f>INDEX(products!$A$1:$G$49,MATCH(orders!$D618,products!$A$1:$A$49,0),MATCH(orders!K$1,products!$A$1:$G$1,0))</f>
        <v>Exc</v>
      </c>
      <c r="L618" t="str">
        <f>INDEX(products!$A$1:$G$49,MATCH(orders!$D618,products!$A$1:$A$49,0),MATCH(orders!L$1,products!$A$1:$G$1,0))</f>
        <v>M</v>
      </c>
      <c r="M618" s="14">
        <f>INDEX(products!$A$1:$G$49,MATCH(orders!$D618,products!$A$1:$A$49,0),MATCH(orders!M$1,products!$A$1:$G$1,0))</f>
        <v>2.5</v>
      </c>
      <c r="N618" s="4">
        <f>INDEX(products!$A$1:$G$49,MATCH(orders!$D618,products!$A$1:$A$49,0),MATCH(orders!N$1,products!$A$1:$G$1,0))</f>
        <v>31.624999999999996</v>
      </c>
      <c r="O618" s="13">
        <f t="shared" si="45"/>
        <v>126.49999999999999</v>
      </c>
      <c r="P618" s="13">
        <f>_xlfn.XLOOKUP(Orders[[#This Row],[Product ID]],products!$A$1:$A$49,products!$G$1:$G$49,,0)</f>
        <v>3.4787499999999998</v>
      </c>
      <c r="Q618" s="13">
        <f t="shared" si="46"/>
        <v>13.914999999999999</v>
      </c>
      <c r="R618" t="str">
        <f t="shared" si="48"/>
        <v>Execelsa</v>
      </c>
      <c r="S618" t="str">
        <f t="shared" si="49"/>
        <v>Medium</v>
      </c>
      <c r="T618" t="str">
        <f>_xlfn.XLOOKUP(Orders[[#This Row],[Customer ID]],customers!$A$1:$A$1001,customers!$I$1:$I$1001,,0)</f>
        <v>No</v>
      </c>
    </row>
    <row r="619" spans="1:20" x14ac:dyDescent="0.35">
      <c r="A619" s="2" t="s">
        <v>3972</v>
      </c>
      <c r="B619" s="3">
        <v>43928</v>
      </c>
      <c r="C619" s="2" t="s">
        <v>3973</v>
      </c>
      <c r="D619" t="s">
        <v>6181</v>
      </c>
      <c r="E619" t="str">
        <f t="shared" si="47"/>
        <v>Liberica-Medium-2.5</v>
      </c>
      <c r="F619" s="2">
        <v>1</v>
      </c>
      <c r="G619" s="2" t="str" cm="1">
        <f t="array" ref="G619">_xlfn.XLOOKUP(C619, customers!$A$1:A1618,customers!$B$1:B1618,,0)</f>
        <v>Rachelle Elizabeth</v>
      </c>
      <c r="H619" s="2" t="str" cm="1">
        <f t="array" ref="H619">IF(_xlfn.XLOOKUP(C619,customers!$A$1:A1618,customers!$C$1:C1618,,0) = 0,"", _xlfn.XLOOKUP(C619,customers!$A$1:A1618,customers!$C$1:C1618,,0))</f>
        <v>relizabethh5@live.com</v>
      </c>
      <c r="I619" s="2" t="str">
        <f>_xlfn.XLOOKUP(C619,customers!$A$1:$A$1001,customers!$G$1:$G$1001,,0)</f>
        <v>United States</v>
      </c>
      <c r="J619" s="2" t="str">
        <f>_xlfn.XLOOKUP(Orders[[#This Row],[Customer ID]],customers!$A$1:$A$1001,customers!$F$1:$F$1001,,0)</f>
        <v>Tulsa</v>
      </c>
      <c r="K619" t="str">
        <f>INDEX(products!$A$1:$G$49,MATCH(orders!$D619,products!$A$1:$A$49,0),MATCH(orders!K$1,products!$A$1:$G$1,0))</f>
        <v>Lib</v>
      </c>
      <c r="L619" t="str">
        <f>INDEX(products!$A$1:$G$49,MATCH(orders!$D619,products!$A$1:$A$49,0),MATCH(orders!L$1,products!$A$1:$G$1,0))</f>
        <v>M</v>
      </c>
      <c r="M619" s="14">
        <f>INDEX(products!$A$1:$G$49,MATCH(orders!$D619,products!$A$1:$A$49,0),MATCH(orders!M$1,products!$A$1:$G$1,0))</f>
        <v>2.5</v>
      </c>
      <c r="N619" s="4">
        <f>INDEX(products!$A$1:$G$49,MATCH(orders!$D619,products!$A$1:$A$49,0),MATCH(orders!N$1,products!$A$1:$G$1,0))</f>
        <v>33.464999999999996</v>
      </c>
      <c r="O619" s="13">
        <f t="shared" si="45"/>
        <v>33.464999999999996</v>
      </c>
      <c r="P619" s="13">
        <f>_xlfn.XLOOKUP(Orders[[#This Row],[Product ID]],products!$A$1:$A$49,products!$G$1:$G$49,,0)</f>
        <v>4.3504499999999995</v>
      </c>
      <c r="Q619" s="13">
        <f t="shared" si="46"/>
        <v>4.3504499999999995</v>
      </c>
      <c r="R619" t="str">
        <f t="shared" si="48"/>
        <v>Liberica</v>
      </c>
      <c r="S619" t="str">
        <f t="shared" si="49"/>
        <v>Medium</v>
      </c>
      <c r="T619" t="str">
        <f>_xlfn.XLOOKUP(Orders[[#This Row],[Customer ID]],customers!$A$1:$A$1001,customers!$I$1:$I$1001,,0)</f>
        <v>No</v>
      </c>
    </row>
    <row r="620" spans="1:20" x14ac:dyDescent="0.35">
      <c r="A620" s="2" t="s">
        <v>3978</v>
      </c>
      <c r="B620" s="3">
        <v>44469</v>
      </c>
      <c r="C620" s="2" t="s">
        <v>3979</v>
      </c>
      <c r="D620" t="s">
        <v>6183</v>
      </c>
      <c r="E620" t="str">
        <f t="shared" si="47"/>
        <v>Excelsa-Dark-1</v>
      </c>
      <c r="F620" s="2">
        <v>6</v>
      </c>
      <c r="G620" s="2" t="str" cm="1">
        <f t="array" ref="G620">_xlfn.XLOOKUP(C620, customers!$A$1:A1619,customers!$B$1:B1619,,0)</f>
        <v>Innis Renhard</v>
      </c>
      <c r="H620" s="2" t="str" cm="1">
        <f t="array" ref="H620">IF(_xlfn.XLOOKUP(C620,customers!$A$1:A1619,customers!$C$1:C1619,,0) = 0,"", _xlfn.XLOOKUP(C620,customers!$A$1:A1619,customers!$C$1:C1619,,0))</f>
        <v>irenhardh6@i2i.jp</v>
      </c>
      <c r="I620" s="2" t="str">
        <f>_xlfn.XLOOKUP(C620,customers!$A$1:$A$1001,customers!$G$1:$G$1001,,0)</f>
        <v>United States</v>
      </c>
      <c r="J620" s="2" t="str">
        <f>_xlfn.XLOOKUP(Orders[[#This Row],[Customer ID]],customers!$A$1:$A$1001,customers!$F$1:$F$1001,,0)</f>
        <v>New York City</v>
      </c>
      <c r="K620" t="str">
        <f>INDEX(products!$A$1:$G$49,MATCH(orders!$D620,products!$A$1:$A$49,0),MATCH(orders!K$1,products!$A$1:$G$1,0))</f>
        <v>Exc</v>
      </c>
      <c r="L620" t="str">
        <f>INDEX(products!$A$1:$G$49,MATCH(orders!$D620,products!$A$1:$A$49,0),MATCH(orders!L$1,products!$A$1:$G$1,0))</f>
        <v>D</v>
      </c>
      <c r="M620" s="14">
        <f>INDEX(products!$A$1:$G$49,MATCH(orders!$D620,products!$A$1:$A$49,0),MATCH(orders!M$1,products!$A$1:$G$1,0))</f>
        <v>1</v>
      </c>
      <c r="N620" s="4">
        <f>INDEX(products!$A$1:$G$49,MATCH(orders!$D620,products!$A$1:$A$49,0),MATCH(orders!N$1,products!$A$1:$G$1,0))</f>
        <v>12.15</v>
      </c>
      <c r="O620" s="13">
        <f t="shared" si="45"/>
        <v>72.900000000000006</v>
      </c>
      <c r="P620" s="13">
        <f>_xlfn.XLOOKUP(Orders[[#This Row],[Product ID]],products!$A$1:$A$49,products!$G$1:$G$49,,0)</f>
        <v>1.3365</v>
      </c>
      <c r="Q620" s="13">
        <f t="shared" si="46"/>
        <v>8.0190000000000001</v>
      </c>
      <c r="R620" t="str">
        <f t="shared" si="48"/>
        <v>Execelsa</v>
      </c>
      <c r="S620" t="str">
        <f t="shared" si="49"/>
        <v>Dark</v>
      </c>
      <c r="T620" t="str">
        <f>_xlfn.XLOOKUP(Orders[[#This Row],[Customer ID]],customers!$A$1:$A$1001,customers!$I$1:$I$1001,,0)</f>
        <v>Yes</v>
      </c>
    </row>
    <row r="621" spans="1:20" x14ac:dyDescent="0.35">
      <c r="A621" s="2" t="s">
        <v>3984</v>
      </c>
      <c r="B621" s="3">
        <v>44682</v>
      </c>
      <c r="C621" s="2" t="s">
        <v>3985</v>
      </c>
      <c r="D621" t="s">
        <v>6169</v>
      </c>
      <c r="E621" t="str">
        <f t="shared" si="47"/>
        <v>Liberica-Dark-0.5</v>
      </c>
      <c r="F621" s="2">
        <v>2</v>
      </c>
      <c r="G621" s="2" t="str" cm="1">
        <f t="array" ref="G621">_xlfn.XLOOKUP(C621, customers!$A$1:A1620,customers!$B$1:B1620,,0)</f>
        <v>Winne Roche</v>
      </c>
      <c r="H621" s="2" t="str" cm="1">
        <f t="array" ref="H621">IF(_xlfn.XLOOKUP(C621,customers!$A$1:A1620,customers!$C$1:C1620,,0) = 0,"", _xlfn.XLOOKUP(C621,customers!$A$1:A1620,customers!$C$1:C1620,,0))</f>
        <v>wrocheh7@xinhuanet.com</v>
      </c>
      <c r="I621" s="2" t="str">
        <f>_xlfn.XLOOKUP(C621,customers!$A$1:$A$1001,customers!$G$1:$G$1001,,0)</f>
        <v>United States</v>
      </c>
      <c r="J621" s="2" t="str">
        <f>_xlfn.XLOOKUP(Orders[[#This Row],[Customer ID]],customers!$A$1:$A$1001,customers!$F$1:$F$1001,,0)</f>
        <v>Seminole</v>
      </c>
      <c r="K621" t="str">
        <f>INDEX(products!$A$1:$G$49,MATCH(orders!$D621,products!$A$1:$A$49,0),MATCH(orders!K$1,products!$A$1:$G$1,0))</f>
        <v>Lib</v>
      </c>
      <c r="L621" t="str">
        <f>INDEX(products!$A$1:$G$49,MATCH(orders!$D621,products!$A$1:$A$49,0),MATCH(orders!L$1,products!$A$1:$G$1,0))</f>
        <v>D</v>
      </c>
      <c r="M621" s="14">
        <f>INDEX(products!$A$1:$G$49,MATCH(orders!$D621,products!$A$1:$A$49,0),MATCH(orders!M$1,products!$A$1:$G$1,0))</f>
        <v>0.5</v>
      </c>
      <c r="N621" s="4">
        <f>INDEX(products!$A$1:$G$49,MATCH(orders!$D621,products!$A$1:$A$49,0),MATCH(orders!N$1,products!$A$1:$G$1,0))</f>
        <v>7.77</v>
      </c>
      <c r="O621" s="13">
        <f t="shared" si="45"/>
        <v>15.54</v>
      </c>
      <c r="P621" s="13">
        <f>_xlfn.XLOOKUP(Orders[[#This Row],[Product ID]],products!$A$1:$A$49,products!$G$1:$G$49,,0)</f>
        <v>1.0101</v>
      </c>
      <c r="Q621" s="13">
        <f t="shared" si="46"/>
        <v>2.0202</v>
      </c>
      <c r="R621" t="str">
        <f t="shared" si="48"/>
        <v>Liberica</v>
      </c>
      <c r="S621" t="str">
        <f t="shared" si="49"/>
        <v>Dark</v>
      </c>
      <c r="T621" t="str">
        <f>_xlfn.XLOOKUP(Orders[[#This Row],[Customer ID]],customers!$A$1:$A$1001,customers!$I$1:$I$1001,,0)</f>
        <v>Yes</v>
      </c>
    </row>
    <row r="622" spans="1:20" x14ac:dyDescent="0.35">
      <c r="A622" s="2" t="s">
        <v>3990</v>
      </c>
      <c r="B622" s="3">
        <v>44217</v>
      </c>
      <c r="C622" s="2" t="s">
        <v>4042</v>
      </c>
      <c r="D622" t="s">
        <v>6152</v>
      </c>
      <c r="E622" t="str">
        <f t="shared" si="47"/>
        <v>Arabica-Medium-0.2</v>
      </c>
      <c r="F622" s="2">
        <v>6</v>
      </c>
      <c r="G622" s="2" t="str" cm="1">
        <f t="array" ref="G622">_xlfn.XLOOKUP(C622, customers!$A$1:A1621,customers!$B$1:B1621,,0)</f>
        <v>Linn Alaway</v>
      </c>
      <c r="H622" s="2" t="str" cm="1">
        <f t="array" ref="H622">IF(_xlfn.XLOOKUP(C622,customers!$A$1:A1621,customers!$C$1:C1621,,0) = 0,"", _xlfn.XLOOKUP(C622,customers!$A$1:A1621,customers!$C$1:C1621,,0))</f>
        <v>lalawayhh@weather.com</v>
      </c>
      <c r="I622" s="2" t="str">
        <f>_xlfn.XLOOKUP(C622,customers!$A$1:$A$1001,customers!$G$1:$G$1001,,0)</f>
        <v>United States</v>
      </c>
      <c r="J622" s="2" t="str">
        <f>_xlfn.XLOOKUP(Orders[[#This Row],[Customer ID]],customers!$A$1:$A$1001,customers!$F$1:$F$1001,,0)</f>
        <v>Fort Lauderdale</v>
      </c>
      <c r="K622" t="str">
        <f>INDEX(products!$A$1:$G$49,MATCH(orders!$D622,products!$A$1:$A$49,0),MATCH(orders!K$1,products!$A$1:$G$1,0))</f>
        <v>Ara</v>
      </c>
      <c r="L622" t="str">
        <f>INDEX(products!$A$1:$G$49,MATCH(orders!$D622,products!$A$1:$A$49,0),MATCH(orders!L$1,products!$A$1:$G$1,0))</f>
        <v>M</v>
      </c>
      <c r="M622" s="14">
        <f>INDEX(products!$A$1:$G$49,MATCH(orders!$D622,products!$A$1:$A$49,0),MATCH(orders!M$1,products!$A$1:$G$1,0))</f>
        <v>0.2</v>
      </c>
      <c r="N622" s="4">
        <f>INDEX(products!$A$1:$G$49,MATCH(orders!$D622,products!$A$1:$A$49,0),MATCH(orders!N$1,products!$A$1:$G$1,0))</f>
        <v>3.375</v>
      </c>
      <c r="O622" s="13">
        <f t="shared" si="45"/>
        <v>20.25</v>
      </c>
      <c r="P622" s="13">
        <f>_xlfn.XLOOKUP(Orders[[#This Row],[Product ID]],products!$A$1:$A$49,products!$G$1:$G$49,,0)</f>
        <v>0.30374999999999996</v>
      </c>
      <c r="Q622" s="13">
        <f t="shared" si="46"/>
        <v>1.8224999999999998</v>
      </c>
      <c r="R622" t="str">
        <f t="shared" si="48"/>
        <v>Arabica</v>
      </c>
      <c r="S622" t="str">
        <f t="shared" si="49"/>
        <v>Medium</v>
      </c>
      <c r="T622" t="str">
        <f>_xlfn.XLOOKUP(Orders[[#This Row],[Customer ID]],customers!$A$1:$A$1001,customers!$I$1:$I$1001,,0)</f>
        <v>No</v>
      </c>
    </row>
    <row r="623" spans="1:20" x14ac:dyDescent="0.35">
      <c r="A623" s="2" t="s">
        <v>3996</v>
      </c>
      <c r="B623" s="3">
        <v>44006</v>
      </c>
      <c r="C623" s="2" t="s">
        <v>3997</v>
      </c>
      <c r="D623" t="s">
        <v>6140</v>
      </c>
      <c r="E623" t="str">
        <f t="shared" si="47"/>
        <v>Arabica-Light-1</v>
      </c>
      <c r="F623" s="2">
        <v>6</v>
      </c>
      <c r="G623" s="2" t="str" cm="1">
        <f t="array" ref="G623">_xlfn.XLOOKUP(C623, customers!$A$1:A1622,customers!$B$1:B1622,,0)</f>
        <v>Cordy Odgaard</v>
      </c>
      <c r="H623" s="2" t="str" cm="1">
        <f t="array" ref="H623">IF(_xlfn.XLOOKUP(C623,customers!$A$1:A1622,customers!$C$1:C1622,,0) = 0,"", _xlfn.XLOOKUP(C623,customers!$A$1:A1622,customers!$C$1:C1622,,0))</f>
        <v>codgaardh9@nsw.gov.au</v>
      </c>
      <c r="I623" s="2" t="str">
        <f>_xlfn.XLOOKUP(C623,customers!$A$1:$A$1001,customers!$G$1:$G$1001,,0)</f>
        <v>United States</v>
      </c>
      <c r="J623" s="2" t="str">
        <f>_xlfn.XLOOKUP(Orders[[#This Row],[Customer ID]],customers!$A$1:$A$1001,customers!$F$1:$F$1001,,0)</f>
        <v>Portland</v>
      </c>
      <c r="K623" t="str">
        <f>INDEX(products!$A$1:$G$49,MATCH(orders!$D623,products!$A$1:$A$49,0),MATCH(orders!K$1,products!$A$1:$G$1,0))</f>
        <v>Ara</v>
      </c>
      <c r="L623" t="str">
        <f>INDEX(products!$A$1:$G$49,MATCH(orders!$D623,products!$A$1:$A$49,0),MATCH(orders!L$1,products!$A$1:$G$1,0))</f>
        <v>L</v>
      </c>
      <c r="M623" s="14">
        <f>INDEX(products!$A$1:$G$49,MATCH(orders!$D623,products!$A$1:$A$49,0),MATCH(orders!M$1,products!$A$1:$G$1,0))</f>
        <v>1</v>
      </c>
      <c r="N623" s="4">
        <f>INDEX(products!$A$1:$G$49,MATCH(orders!$D623,products!$A$1:$A$49,0),MATCH(orders!N$1,products!$A$1:$G$1,0))</f>
        <v>12.95</v>
      </c>
      <c r="O623" s="13">
        <f t="shared" si="45"/>
        <v>77.699999999999989</v>
      </c>
      <c r="P623" s="13">
        <f>_xlfn.XLOOKUP(Orders[[#This Row],[Product ID]],products!$A$1:$A$49,products!$G$1:$G$49,,0)</f>
        <v>1.1655</v>
      </c>
      <c r="Q623" s="13">
        <f t="shared" si="46"/>
        <v>6.9930000000000003</v>
      </c>
      <c r="R623" t="str">
        <f t="shared" si="48"/>
        <v>Arabica</v>
      </c>
      <c r="S623" t="str">
        <f t="shared" si="49"/>
        <v>Light</v>
      </c>
      <c r="T623" t="str">
        <f>_xlfn.XLOOKUP(Orders[[#This Row],[Customer ID]],customers!$A$1:$A$1001,customers!$I$1:$I$1001,,0)</f>
        <v>No</v>
      </c>
    </row>
    <row r="624" spans="1:20" x14ac:dyDescent="0.35">
      <c r="A624" s="2" t="s">
        <v>4002</v>
      </c>
      <c r="B624" s="3">
        <v>43527</v>
      </c>
      <c r="C624" s="2" t="s">
        <v>4003</v>
      </c>
      <c r="D624" t="s">
        <v>6181</v>
      </c>
      <c r="E624" t="str">
        <f t="shared" si="47"/>
        <v>Liberica-Medium-2.5</v>
      </c>
      <c r="F624" s="2">
        <v>4</v>
      </c>
      <c r="G624" s="2" t="str" cm="1">
        <f t="array" ref="G624">_xlfn.XLOOKUP(C624, customers!$A$1:A1623,customers!$B$1:B1623,,0)</f>
        <v>Bertine Byrd</v>
      </c>
      <c r="H624" s="2" t="str" cm="1">
        <f t="array" ref="H624">IF(_xlfn.XLOOKUP(C624,customers!$A$1:A1623,customers!$C$1:C1623,,0) = 0,"", _xlfn.XLOOKUP(C624,customers!$A$1:A1623,customers!$C$1:C1623,,0))</f>
        <v>bbyrdha@4shared.com</v>
      </c>
      <c r="I624" s="2" t="str">
        <f>_xlfn.XLOOKUP(C624,customers!$A$1:$A$1001,customers!$G$1:$G$1001,,0)</f>
        <v>United States</v>
      </c>
      <c r="J624" s="2" t="str">
        <f>_xlfn.XLOOKUP(Orders[[#This Row],[Customer ID]],customers!$A$1:$A$1001,customers!$F$1:$F$1001,,0)</f>
        <v>Las Vegas</v>
      </c>
      <c r="K624" t="str">
        <f>INDEX(products!$A$1:$G$49,MATCH(orders!$D624,products!$A$1:$A$49,0),MATCH(orders!K$1,products!$A$1:$G$1,0))</f>
        <v>Lib</v>
      </c>
      <c r="L624" t="str">
        <f>INDEX(products!$A$1:$G$49,MATCH(orders!$D624,products!$A$1:$A$49,0),MATCH(orders!L$1,products!$A$1:$G$1,0))</f>
        <v>M</v>
      </c>
      <c r="M624" s="14">
        <f>INDEX(products!$A$1:$G$49,MATCH(orders!$D624,products!$A$1:$A$49,0),MATCH(orders!M$1,products!$A$1:$G$1,0))</f>
        <v>2.5</v>
      </c>
      <c r="N624" s="4">
        <f>INDEX(products!$A$1:$G$49,MATCH(orders!$D624,products!$A$1:$A$49,0),MATCH(orders!N$1,products!$A$1:$G$1,0))</f>
        <v>33.464999999999996</v>
      </c>
      <c r="O624" s="13">
        <f t="shared" si="45"/>
        <v>133.85999999999999</v>
      </c>
      <c r="P624" s="13">
        <f>_xlfn.XLOOKUP(Orders[[#This Row],[Product ID]],products!$A$1:$A$49,products!$G$1:$G$49,,0)</f>
        <v>4.3504499999999995</v>
      </c>
      <c r="Q624" s="13">
        <f t="shared" si="46"/>
        <v>17.401799999999998</v>
      </c>
      <c r="R624" t="str">
        <f t="shared" si="48"/>
        <v>Liberica</v>
      </c>
      <c r="S624" t="str">
        <f t="shared" si="49"/>
        <v>Medium</v>
      </c>
      <c r="T624" t="str">
        <f>_xlfn.XLOOKUP(Orders[[#This Row],[Customer ID]],customers!$A$1:$A$1001,customers!$I$1:$I$1001,,0)</f>
        <v>No</v>
      </c>
    </row>
    <row r="625" spans="1:20" x14ac:dyDescent="0.35">
      <c r="A625" s="2" t="s">
        <v>4007</v>
      </c>
      <c r="B625" s="3">
        <v>44224</v>
      </c>
      <c r="C625" s="2" t="s">
        <v>4008</v>
      </c>
      <c r="D625" t="s">
        <v>6183</v>
      </c>
      <c r="E625" t="str">
        <f t="shared" si="47"/>
        <v>Excelsa-Dark-1</v>
      </c>
      <c r="F625" s="2">
        <v>1</v>
      </c>
      <c r="G625" s="2" t="str" cm="1">
        <f t="array" ref="G625">_xlfn.XLOOKUP(C625, customers!$A$1:A1624,customers!$B$1:B1624,,0)</f>
        <v>Nelie Garnson</v>
      </c>
      <c r="H625" s="2" t="str" cm="1">
        <f t="array" ref="H625">IF(_xlfn.XLOOKUP(C625,customers!$A$1:A1624,customers!$C$1:C1624,,0) = 0,"", _xlfn.XLOOKUP(C625,customers!$A$1:A1624,customers!$C$1:C1624,,0))</f>
        <v/>
      </c>
      <c r="I625" s="2" t="str">
        <f>_xlfn.XLOOKUP(C625,customers!$A$1:$A$1001,customers!$G$1:$G$1001,,0)</f>
        <v>United Kingdom</v>
      </c>
      <c r="J625" s="2" t="str">
        <f>_xlfn.XLOOKUP(Orders[[#This Row],[Customer ID]],customers!$A$1:$A$1001,customers!$F$1:$F$1001,,0)</f>
        <v>Merton</v>
      </c>
      <c r="K625" t="str">
        <f>INDEX(products!$A$1:$G$49,MATCH(orders!$D625,products!$A$1:$A$49,0),MATCH(orders!K$1,products!$A$1:$G$1,0))</f>
        <v>Exc</v>
      </c>
      <c r="L625" t="str">
        <f>INDEX(products!$A$1:$G$49,MATCH(orders!$D625,products!$A$1:$A$49,0),MATCH(orders!L$1,products!$A$1:$G$1,0))</f>
        <v>D</v>
      </c>
      <c r="M625" s="14">
        <f>INDEX(products!$A$1:$G$49,MATCH(orders!$D625,products!$A$1:$A$49,0),MATCH(orders!M$1,products!$A$1:$G$1,0))</f>
        <v>1</v>
      </c>
      <c r="N625" s="4">
        <f>INDEX(products!$A$1:$G$49,MATCH(orders!$D625,products!$A$1:$A$49,0),MATCH(orders!N$1,products!$A$1:$G$1,0))</f>
        <v>12.15</v>
      </c>
      <c r="O625" s="13">
        <f t="shared" si="45"/>
        <v>12.15</v>
      </c>
      <c r="P625" s="13">
        <f>_xlfn.XLOOKUP(Orders[[#This Row],[Product ID]],products!$A$1:$A$49,products!$G$1:$G$49,,0)</f>
        <v>1.3365</v>
      </c>
      <c r="Q625" s="13">
        <f t="shared" si="46"/>
        <v>1.3365</v>
      </c>
      <c r="R625" t="str">
        <f t="shared" si="48"/>
        <v>Execelsa</v>
      </c>
      <c r="S625" t="str">
        <f t="shared" si="49"/>
        <v>Dark</v>
      </c>
      <c r="T625" t="str">
        <f>_xlfn.XLOOKUP(Orders[[#This Row],[Customer ID]],customers!$A$1:$A$1001,customers!$I$1:$I$1001,,0)</f>
        <v>No</v>
      </c>
    </row>
    <row r="626" spans="1:20" x14ac:dyDescent="0.35">
      <c r="A626" s="2" t="s">
        <v>4012</v>
      </c>
      <c r="B626" s="3">
        <v>44010</v>
      </c>
      <c r="C626" s="2" t="s">
        <v>4013</v>
      </c>
      <c r="D626" t="s">
        <v>6166</v>
      </c>
      <c r="E626" t="str">
        <f t="shared" si="47"/>
        <v>Excelsa-Medium-2.5</v>
      </c>
      <c r="F626" s="2">
        <v>2</v>
      </c>
      <c r="G626" s="2" t="str" cm="1">
        <f t="array" ref="G626">_xlfn.XLOOKUP(C626, customers!$A$1:A1625,customers!$B$1:B1625,,0)</f>
        <v>Dianne Chardin</v>
      </c>
      <c r="H626" s="2" t="str" cm="1">
        <f t="array" ref="H626">IF(_xlfn.XLOOKUP(C626,customers!$A$1:A1625,customers!$C$1:C1625,,0) = 0,"", _xlfn.XLOOKUP(C626,customers!$A$1:A1625,customers!$C$1:C1625,,0))</f>
        <v>dchardinhc@nhs.uk</v>
      </c>
      <c r="I626" s="2" t="str">
        <f>_xlfn.XLOOKUP(C626,customers!$A$1:$A$1001,customers!$G$1:$G$1001,,0)</f>
        <v>Ireland</v>
      </c>
      <c r="J626" s="2" t="str">
        <f>_xlfn.XLOOKUP(Orders[[#This Row],[Customer ID]],customers!$A$1:$A$1001,customers!$F$1:$F$1001,,0)</f>
        <v>Ballybofey</v>
      </c>
      <c r="K626" t="str">
        <f>INDEX(products!$A$1:$G$49,MATCH(orders!$D626,products!$A$1:$A$49,0),MATCH(orders!K$1,products!$A$1:$G$1,0))</f>
        <v>Exc</v>
      </c>
      <c r="L626" t="str">
        <f>INDEX(products!$A$1:$G$49,MATCH(orders!$D626,products!$A$1:$A$49,0),MATCH(orders!L$1,products!$A$1:$G$1,0))</f>
        <v>M</v>
      </c>
      <c r="M626" s="14">
        <f>INDEX(products!$A$1:$G$49,MATCH(orders!$D626,products!$A$1:$A$49,0),MATCH(orders!M$1,products!$A$1:$G$1,0))</f>
        <v>2.5</v>
      </c>
      <c r="N626" s="4">
        <f>INDEX(products!$A$1:$G$49,MATCH(orders!$D626,products!$A$1:$A$49,0),MATCH(orders!N$1,products!$A$1:$G$1,0))</f>
        <v>31.624999999999996</v>
      </c>
      <c r="O626" s="13">
        <f t="shared" si="45"/>
        <v>63.249999999999993</v>
      </c>
      <c r="P626" s="13">
        <f>_xlfn.XLOOKUP(Orders[[#This Row],[Product ID]],products!$A$1:$A$49,products!$G$1:$G$49,,0)</f>
        <v>3.4787499999999998</v>
      </c>
      <c r="Q626" s="13">
        <f t="shared" si="46"/>
        <v>6.9574999999999996</v>
      </c>
      <c r="R626" t="str">
        <f t="shared" si="48"/>
        <v>Execelsa</v>
      </c>
      <c r="S626" t="str">
        <f t="shared" si="49"/>
        <v>Medium</v>
      </c>
      <c r="T626" t="str">
        <f>_xlfn.XLOOKUP(Orders[[#This Row],[Customer ID]],customers!$A$1:$A$1001,customers!$I$1:$I$1001,,0)</f>
        <v>Yes</v>
      </c>
    </row>
    <row r="627" spans="1:20" x14ac:dyDescent="0.35">
      <c r="A627" s="2" t="s">
        <v>4017</v>
      </c>
      <c r="B627" s="3">
        <v>44017</v>
      </c>
      <c r="C627" s="2" t="s">
        <v>4018</v>
      </c>
      <c r="D627" t="s">
        <v>6173</v>
      </c>
      <c r="E627" t="str">
        <f t="shared" si="47"/>
        <v>Robusta-Light-0.5</v>
      </c>
      <c r="F627" s="2">
        <v>5</v>
      </c>
      <c r="G627" s="2" t="str" cm="1">
        <f t="array" ref="G627">_xlfn.XLOOKUP(C627, customers!$A$1:A1626,customers!$B$1:B1626,,0)</f>
        <v>Hailee Radbone</v>
      </c>
      <c r="H627" s="2" t="str" cm="1">
        <f t="array" ref="H627">IF(_xlfn.XLOOKUP(C627,customers!$A$1:A1626,customers!$C$1:C1626,,0) = 0,"", _xlfn.XLOOKUP(C627,customers!$A$1:A1626,customers!$C$1:C1626,,0))</f>
        <v>hradbonehd@newsvine.com</v>
      </c>
      <c r="I627" s="2" t="str">
        <f>_xlfn.XLOOKUP(C627,customers!$A$1:$A$1001,customers!$G$1:$G$1001,,0)</f>
        <v>United States</v>
      </c>
      <c r="J627" s="2" t="str">
        <f>_xlfn.XLOOKUP(Orders[[#This Row],[Customer ID]],customers!$A$1:$A$1001,customers!$F$1:$F$1001,,0)</f>
        <v>San Francisco</v>
      </c>
      <c r="K627" t="str">
        <f>INDEX(products!$A$1:$G$49,MATCH(orders!$D627,products!$A$1:$A$49,0),MATCH(orders!K$1,products!$A$1:$G$1,0))</f>
        <v>Rob</v>
      </c>
      <c r="L627" t="str">
        <f>INDEX(products!$A$1:$G$49,MATCH(orders!$D627,products!$A$1:$A$49,0),MATCH(orders!L$1,products!$A$1:$G$1,0))</f>
        <v>L</v>
      </c>
      <c r="M627" s="14">
        <f>INDEX(products!$A$1:$G$49,MATCH(orders!$D627,products!$A$1:$A$49,0),MATCH(orders!M$1,products!$A$1:$G$1,0))</f>
        <v>0.5</v>
      </c>
      <c r="N627" s="4">
        <f>INDEX(products!$A$1:$G$49,MATCH(orders!$D627,products!$A$1:$A$49,0),MATCH(orders!N$1,products!$A$1:$G$1,0))</f>
        <v>7.169999999999999</v>
      </c>
      <c r="O627" s="13">
        <f t="shared" si="45"/>
        <v>35.849999999999994</v>
      </c>
      <c r="P627" s="13">
        <f>_xlfn.XLOOKUP(Orders[[#This Row],[Product ID]],products!$A$1:$A$49,products!$G$1:$G$49,,0)</f>
        <v>0.43019999999999992</v>
      </c>
      <c r="Q627" s="13">
        <f t="shared" si="46"/>
        <v>2.1509999999999998</v>
      </c>
      <c r="R627" t="str">
        <f t="shared" si="48"/>
        <v>Robusta</v>
      </c>
      <c r="S627" t="str">
        <f t="shared" si="49"/>
        <v>Light</v>
      </c>
      <c r="T627" t="str">
        <f>_xlfn.XLOOKUP(Orders[[#This Row],[Customer ID]],customers!$A$1:$A$1001,customers!$I$1:$I$1001,,0)</f>
        <v>No</v>
      </c>
    </row>
    <row r="628" spans="1:20" x14ac:dyDescent="0.35">
      <c r="A628" s="2" t="s">
        <v>4023</v>
      </c>
      <c r="B628" s="3">
        <v>43526</v>
      </c>
      <c r="C628" s="2" t="s">
        <v>4024</v>
      </c>
      <c r="D628" t="s">
        <v>6175</v>
      </c>
      <c r="E628" t="str">
        <f t="shared" si="47"/>
        <v>Arabica-Medium-2.5</v>
      </c>
      <c r="F628" s="2">
        <v>3</v>
      </c>
      <c r="G628" s="2" t="str" cm="1">
        <f t="array" ref="G628">_xlfn.XLOOKUP(C628, customers!$A$1:A1627,customers!$B$1:B1627,,0)</f>
        <v>Wallis Bernth</v>
      </c>
      <c r="H628" s="2" t="str" cm="1">
        <f t="array" ref="H628">IF(_xlfn.XLOOKUP(C628,customers!$A$1:A1627,customers!$C$1:C1627,,0) = 0,"", _xlfn.XLOOKUP(C628,customers!$A$1:A1627,customers!$C$1:C1627,,0))</f>
        <v>wbernthhe@miitbeian.gov.cn</v>
      </c>
      <c r="I628" s="2" t="str">
        <f>_xlfn.XLOOKUP(C628,customers!$A$1:$A$1001,customers!$G$1:$G$1001,,0)</f>
        <v>United States</v>
      </c>
      <c r="J628" s="2" t="str">
        <f>_xlfn.XLOOKUP(Orders[[#This Row],[Customer ID]],customers!$A$1:$A$1001,customers!$F$1:$F$1001,,0)</f>
        <v>Pittsburgh</v>
      </c>
      <c r="K628" t="str">
        <f>INDEX(products!$A$1:$G$49,MATCH(orders!$D628,products!$A$1:$A$49,0),MATCH(orders!K$1,products!$A$1:$G$1,0))</f>
        <v>Ara</v>
      </c>
      <c r="L628" t="str">
        <f>INDEX(products!$A$1:$G$49,MATCH(orders!$D628,products!$A$1:$A$49,0),MATCH(orders!L$1,products!$A$1:$G$1,0))</f>
        <v>M</v>
      </c>
      <c r="M628" s="14">
        <f>INDEX(products!$A$1:$G$49,MATCH(orders!$D628,products!$A$1:$A$49,0),MATCH(orders!M$1,products!$A$1:$G$1,0))</f>
        <v>2.5</v>
      </c>
      <c r="N628" s="4">
        <f>INDEX(products!$A$1:$G$49,MATCH(orders!$D628,products!$A$1:$A$49,0),MATCH(orders!N$1,products!$A$1:$G$1,0))</f>
        <v>25.874999999999996</v>
      </c>
      <c r="O628" s="13">
        <f t="shared" si="45"/>
        <v>77.624999999999986</v>
      </c>
      <c r="P628" s="13">
        <f>_xlfn.XLOOKUP(Orders[[#This Row],[Product ID]],products!$A$1:$A$49,products!$G$1:$G$49,,0)</f>
        <v>2.3287499999999994</v>
      </c>
      <c r="Q628" s="13">
        <f t="shared" si="46"/>
        <v>6.9862499999999983</v>
      </c>
      <c r="R628" t="str">
        <f t="shared" si="48"/>
        <v>Arabica</v>
      </c>
      <c r="S628" t="str">
        <f t="shared" si="49"/>
        <v>Medium</v>
      </c>
      <c r="T628" t="str">
        <f>_xlfn.XLOOKUP(Orders[[#This Row],[Customer ID]],customers!$A$1:$A$1001,customers!$I$1:$I$1001,,0)</f>
        <v>No</v>
      </c>
    </row>
    <row r="629" spans="1:20" x14ac:dyDescent="0.35">
      <c r="A629" s="2" t="s">
        <v>4029</v>
      </c>
      <c r="B629" s="3">
        <v>44682</v>
      </c>
      <c r="C629" s="2" t="s">
        <v>4030</v>
      </c>
      <c r="D629" t="s">
        <v>6166</v>
      </c>
      <c r="E629" t="str">
        <f t="shared" si="47"/>
        <v>Excelsa-Medium-2.5</v>
      </c>
      <c r="F629" s="2">
        <v>2</v>
      </c>
      <c r="G629" s="2" t="str" cm="1">
        <f t="array" ref="G629">_xlfn.XLOOKUP(C629, customers!$A$1:A1628,customers!$B$1:B1628,,0)</f>
        <v>Byron Acarson</v>
      </c>
      <c r="H629" s="2" t="str" cm="1">
        <f t="array" ref="H629">IF(_xlfn.XLOOKUP(C629,customers!$A$1:A1628,customers!$C$1:C1628,,0) = 0,"", _xlfn.XLOOKUP(C629,customers!$A$1:A1628,customers!$C$1:C1628,,0))</f>
        <v>bacarsonhf@cnn.com</v>
      </c>
      <c r="I629" s="2" t="str">
        <f>_xlfn.XLOOKUP(C629,customers!$A$1:$A$1001,customers!$G$1:$G$1001,,0)</f>
        <v>United States</v>
      </c>
      <c r="J629" s="2" t="str">
        <f>_xlfn.XLOOKUP(Orders[[#This Row],[Customer ID]],customers!$A$1:$A$1001,customers!$F$1:$F$1001,,0)</f>
        <v>Houston</v>
      </c>
      <c r="K629" t="str">
        <f>INDEX(products!$A$1:$G$49,MATCH(orders!$D629,products!$A$1:$A$49,0),MATCH(orders!K$1,products!$A$1:$G$1,0))</f>
        <v>Exc</v>
      </c>
      <c r="L629" t="str">
        <f>INDEX(products!$A$1:$G$49,MATCH(orders!$D629,products!$A$1:$A$49,0),MATCH(orders!L$1,products!$A$1:$G$1,0))</f>
        <v>M</v>
      </c>
      <c r="M629" s="14">
        <f>INDEX(products!$A$1:$G$49,MATCH(orders!$D629,products!$A$1:$A$49,0),MATCH(orders!M$1,products!$A$1:$G$1,0))</f>
        <v>2.5</v>
      </c>
      <c r="N629" s="4">
        <f>INDEX(products!$A$1:$G$49,MATCH(orders!$D629,products!$A$1:$A$49,0),MATCH(orders!N$1,products!$A$1:$G$1,0))</f>
        <v>31.624999999999996</v>
      </c>
      <c r="O629" s="13">
        <f t="shared" si="45"/>
        <v>63.249999999999993</v>
      </c>
      <c r="P629" s="13">
        <f>_xlfn.XLOOKUP(Orders[[#This Row],[Product ID]],products!$A$1:$A$49,products!$G$1:$G$49,,0)</f>
        <v>3.4787499999999998</v>
      </c>
      <c r="Q629" s="13">
        <f t="shared" si="46"/>
        <v>6.9574999999999996</v>
      </c>
      <c r="R629" t="str">
        <f t="shared" si="48"/>
        <v>Execelsa</v>
      </c>
      <c r="S629" t="str">
        <f t="shared" si="49"/>
        <v>Medium</v>
      </c>
      <c r="T629" t="str">
        <f>_xlfn.XLOOKUP(Orders[[#This Row],[Customer ID]],customers!$A$1:$A$1001,customers!$I$1:$I$1001,,0)</f>
        <v>Yes</v>
      </c>
    </row>
    <row r="630" spans="1:20" x14ac:dyDescent="0.35">
      <c r="A630" s="2" t="s">
        <v>4035</v>
      </c>
      <c r="B630" s="3">
        <v>44680</v>
      </c>
      <c r="C630" s="2" t="s">
        <v>4036</v>
      </c>
      <c r="D630" t="s">
        <v>6184</v>
      </c>
      <c r="E630" t="str">
        <f t="shared" si="47"/>
        <v>Excelsa-Light-0.2</v>
      </c>
      <c r="F630" s="2">
        <v>6</v>
      </c>
      <c r="G630" s="2" t="str" cm="1">
        <f t="array" ref="G630">_xlfn.XLOOKUP(C630, customers!$A$1:A1629,customers!$B$1:B1629,,0)</f>
        <v>Faunie Brigham</v>
      </c>
      <c r="H630" s="2" t="str" cm="1">
        <f t="array" ref="H630">IF(_xlfn.XLOOKUP(C630,customers!$A$1:A1629,customers!$C$1:C1629,,0) = 0,"", _xlfn.XLOOKUP(C630,customers!$A$1:A1629,customers!$C$1:C1629,,0))</f>
        <v>fbrighamhg@blog.com</v>
      </c>
      <c r="I630" s="2" t="str">
        <f>_xlfn.XLOOKUP(C630,customers!$A$1:$A$1001,customers!$G$1:$G$1001,,0)</f>
        <v>Ireland</v>
      </c>
      <c r="J630" s="2" t="str">
        <f>_xlfn.XLOOKUP(Orders[[#This Row],[Customer ID]],customers!$A$1:$A$1001,customers!$F$1:$F$1001,,0)</f>
        <v>Castlerea</v>
      </c>
      <c r="K630" t="str">
        <f>INDEX(products!$A$1:$G$49,MATCH(orders!$D630,products!$A$1:$A$49,0),MATCH(orders!K$1,products!$A$1:$G$1,0))</f>
        <v>Exc</v>
      </c>
      <c r="L630" t="str">
        <f>INDEX(products!$A$1:$G$49,MATCH(orders!$D630,products!$A$1:$A$49,0),MATCH(orders!L$1,products!$A$1:$G$1,0))</f>
        <v>L</v>
      </c>
      <c r="M630" s="14">
        <f>INDEX(products!$A$1:$G$49,MATCH(orders!$D630,products!$A$1:$A$49,0),MATCH(orders!M$1,products!$A$1:$G$1,0))</f>
        <v>0.2</v>
      </c>
      <c r="N630" s="4">
        <f>INDEX(products!$A$1:$G$49,MATCH(orders!$D630,products!$A$1:$A$49,0),MATCH(orders!N$1,products!$A$1:$G$1,0))</f>
        <v>4.4550000000000001</v>
      </c>
      <c r="O630" s="13">
        <f t="shared" si="45"/>
        <v>26.73</v>
      </c>
      <c r="P630" s="13">
        <f>_xlfn.XLOOKUP(Orders[[#This Row],[Product ID]],products!$A$1:$A$49,products!$G$1:$G$49,,0)</f>
        <v>0.49004999999999999</v>
      </c>
      <c r="Q630" s="13">
        <f t="shared" si="46"/>
        <v>2.9402999999999997</v>
      </c>
      <c r="R630" t="str">
        <f t="shared" si="48"/>
        <v>Execelsa</v>
      </c>
      <c r="S630" t="str">
        <f t="shared" si="49"/>
        <v>Light</v>
      </c>
      <c r="T630" t="str">
        <f>_xlfn.XLOOKUP(Orders[[#This Row],[Customer ID]],customers!$A$1:$A$1001,customers!$I$1:$I$1001,,0)</f>
        <v>Yes</v>
      </c>
    </row>
    <row r="631" spans="1:20" x14ac:dyDescent="0.35">
      <c r="A631" s="2" t="s">
        <v>4035</v>
      </c>
      <c r="B631" s="3">
        <v>44680</v>
      </c>
      <c r="C631" s="2" t="s">
        <v>4036</v>
      </c>
      <c r="D631" t="s">
        <v>6169</v>
      </c>
      <c r="E631" t="str">
        <f t="shared" si="47"/>
        <v>Liberica-Dark-0.5</v>
      </c>
      <c r="F631" s="2">
        <v>4</v>
      </c>
      <c r="G631" s="2" t="str" cm="1">
        <f t="array" ref="G631">_xlfn.XLOOKUP(C631, customers!$A$1:A1630,customers!$B$1:B1630,,0)</f>
        <v>Faunie Brigham</v>
      </c>
      <c r="H631" s="2" t="str" cm="1">
        <f t="array" ref="H631">IF(_xlfn.XLOOKUP(C631,customers!$A$1:A1630,customers!$C$1:C1630,,0) = 0,"", _xlfn.XLOOKUP(C631,customers!$A$1:A1630,customers!$C$1:C1630,,0))</f>
        <v>fbrighamhg@blog.com</v>
      </c>
      <c r="I631" s="2" t="str">
        <f>_xlfn.XLOOKUP(C631,customers!$A$1:$A$1001,customers!$G$1:$G$1001,,0)</f>
        <v>Ireland</v>
      </c>
      <c r="J631" s="2" t="str">
        <f>_xlfn.XLOOKUP(Orders[[#This Row],[Customer ID]],customers!$A$1:$A$1001,customers!$F$1:$F$1001,,0)</f>
        <v>Castlerea</v>
      </c>
      <c r="K631" t="str">
        <f>INDEX(products!$A$1:$G$49,MATCH(orders!$D631,products!$A$1:$A$49,0),MATCH(orders!K$1,products!$A$1:$G$1,0))</f>
        <v>Lib</v>
      </c>
      <c r="L631" t="str">
        <f>INDEX(products!$A$1:$G$49,MATCH(orders!$D631,products!$A$1:$A$49,0),MATCH(orders!L$1,products!$A$1:$G$1,0))</f>
        <v>D</v>
      </c>
      <c r="M631" s="14">
        <f>INDEX(products!$A$1:$G$49,MATCH(orders!$D631,products!$A$1:$A$49,0),MATCH(orders!M$1,products!$A$1:$G$1,0))</f>
        <v>0.5</v>
      </c>
      <c r="N631" s="4">
        <f>INDEX(products!$A$1:$G$49,MATCH(orders!$D631,products!$A$1:$A$49,0),MATCH(orders!N$1,products!$A$1:$G$1,0))</f>
        <v>7.77</v>
      </c>
      <c r="O631" s="13">
        <f t="shared" si="45"/>
        <v>31.08</v>
      </c>
      <c r="P631" s="13">
        <f>_xlfn.XLOOKUP(Orders[[#This Row],[Product ID]],products!$A$1:$A$49,products!$G$1:$G$49,,0)</f>
        <v>1.0101</v>
      </c>
      <c r="Q631" s="13">
        <f t="shared" si="46"/>
        <v>4.0404</v>
      </c>
      <c r="R631" t="str">
        <f t="shared" si="48"/>
        <v>Liberica</v>
      </c>
      <c r="S631" t="str">
        <f t="shared" si="49"/>
        <v>Dark</v>
      </c>
      <c r="T631" t="str">
        <f>_xlfn.XLOOKUP(Orders[[#This Row],[Customer ID]],customers!$A$1:$A$1001,customers!$I$1:$I$1001,,0)</f>
        <v>Yes</v>
      </c>
    </row>
    <row r="632" spans="1:20" x14ac:dyDescent="0.35">
      <c r="A632" s="2" t="s">
        <v>4035</v>
      </c>
      <c r="B632" s="3">
        <v>44680</v>
      </c>
      <c r="C632" s="2" t="s">
        <v>4036</v>
      </c>
      <c r="D632" t="s">
        <v>6154</v>
      </c>
      <c r="E632" t="str">
        <f t="shared" si="47"/>
        <v>Arabica-Dark-0.2</v>
      </c>
      <c r="F632" s="2">
        <v>1</v>
      </c>
      <c r="G632" s="2" t="str" cm="1">
        <f t="array" ref="G632">_xlfn.XLOOKUP(C632, customers!$A$1:A1631,customers!$B$1:B1631,,0)</f>
        <v>Faunie Brigham</v>
      </c>
      <c r="H632" s="2" t="str" cm="1">
        <f t="array" ref="H632">IF(_xlfn.XLOOKUP(C632,customers!$A$1:A1631,customers!$C$1:C1631,,0) = 0,"", _xlfn.XLOOKUP(C632,customers!$A$1:A1631,customers!$C$1:C1631,,0))</f>
        <v>fbrighamhg@blog.com</v>
      </c>
      <c r="I632" s="2" t="str">
        <f>_xlfn.XLOOKUP(C632,customers!$A$1:$A$1001,customers!$G$1:$G$1001,,0)</f>
        <v>Ireland</v>
      </c>
      <c r="J632" s="2" t="str">
        <f>_xlfn.XLOOKUP(Orders[[#This Row],[Customer ID]],customers!$A$1:$A$1001,customers!$F$1:$F$1001,,0)</f>
        <v>Castlerea</v>
      </c>
      <c r="K632" t="str">
        <f>INDEX(products!$A$1:$G$49,MATCH(orders!$D632,products!$A$1:$A$49,0),MATCH(orders!K$1,products!$A$1:$G$1,0))</f>
        <v>Ara</v>
      </c>
      <c r="L632" t="str">
        <f>INDEX(products!$A$1:$G$49,MATCH(orders!$D632,products!$A$1:$A$49,0),MATCH(orders!L$1,products!$A$1:$G$1,0))</f>
        <v>D</v>
      </c>
      <c r="M632" s="14">
        <f>INDEX(products!$A$1:$G$49,MATCH(orders!$D632,products!$A$1:$A$49,0),MATCH(orders!M$1,products!$A$1:$G$1,0))</f>
        <v>0.2</v>
      </c>
      <c r="N632" s="4">
        <f>INDEX(products!$A$1:$G$49,MATCH(orders!$D632,products!$A$1:$A$49,0),MATCH(orders!N$1,products!$A$1:$G$1,0))</f>
        <v>2.9849999999999999</v>
      </c>
      <c r="O632" s="13">
        <f t="shared" si="45"/>
        <v>2.9849999999999999</v>
      </c>
      <c r="P632" s="13">
        <f>_xlfn.XLOOKUP(Orders[[#This Row],[Product ID]],products!$A$1:$A$49,products!$G$1:$G$49,,0)</f>
        <v>0.26865</v>
      </c>
      <c r="Q632" s="13">
        <f t="shared" si="46"/>
        <v>0.26865</v>
      </c>
      <c r="R632" t="str">
        <f t="shared" si="48"/>
        <v>Arabica</v>
      </c>
      <c r="S632" t="str">
        <f t="shared" si="49"/>
        <v>Dark</v>
      </c>
      <c r="T632" t="str">
        <f>_xlfn.XLOOKUP(Orders[[#This Row],[Customer ID]],customers!$A$1:$A$1001,customers!$I$1:$I$1001,,0)</f>
        <v>Yes</v>
      </c>
    </row>
    <row r="633" spans="1:20" x14ac:dyDescent="0.35">
      <c r="A633" s="2" t="s">
        <v>4035</v>
      </c>
      <c r="B633" s="3">
        <v>44680</v>
      </c>
      <c r="C633" s="2" t="s">
        <v>4036</v>
      </c>
      <c r="D633" t="s">
        <v>6149</v>
      </c>
      <c r="E633" t="str">
        <f t="shared" si="47"/>
        <v>Robusta-Dark-2.5</v>
      </c>
      <c r="F633" s="2">
        <v>5</v>
      </c>
      <c r="G633" s="2" t="str" cm="1">
        <f t="array" ref="G633">_xlfn.XLOOKUP(C633, customers!$A$1:A1632,customers!$B$1:B1632,,0)</f>
        <v>Faunie Brigham</v>
      </c>
      <c r="H633" s="2" t="str" cm="1">
        <f t="array" ref="H633">IF(_xlfn.XLOOKUP(C633,customers!$A$1:A1632,customers!$C$1:C1632,,0) = 0,"", _xlfn.XLOOKUP(C633,customers!$A$1:A1632,customers!$C$1:C1632,,0))</f>
        <v>fbrighamhg@blog.com</v>
      </c>
      <c r="I633" s="2" t="str">
        <f>_xlfn.XLOOKUP(C633,customers!$A$1:$A$1001,customers!$G$1:$G$1001,,0)</f>
        <v>Ireland</v>
      </c>
      <c r="J633" s="2" t="str">
        <f>_xlfn.XLOOKUP(Orders[[#This Row],[Customer ID]],customers!$A$1:$A$1001,customers!$F$1:$F$1001,,0)</f>
        <v>Castlerea</v>
      </c>
      <c r="K633" t="str">
        <f>INDEX(products!$A$1:$G$49,MATCH(orders!$D633,products!$A$1:$A$49,0),MATCH(orders!K$1,products!$A$1:$G$1,0))</f>
        <v>Rob</v>
      </c>
      <c r="L633" t="str">
        <f>INDEX(products!$A$1:$G$49,MATCH(orders!$D633,products!$A$1:$A$49,0),MATCH(orders!L$1,products!$A$1:$G$1,0))</f>
        <v>D</v>
      </c>
      <c r="M633" s="14">
        <f>INDEX(products!$A$1:$G$49,MATCH(orders!$D633,products!$A$1:$A$49,0),MATCH(orders!M$1,products!$A$1:$G$1,0))</f>
        <v>2.5</v>
      </c>
      <c r="N633" s="4">
        <f>INDEX(products!$A$1:$G$49,MATCH(orders!$D633,products!$A$1:$A$49,0),MATCH(orders!N$1,products!$A$1:$G$1,0))</f>
        <v>20.584999999999997</v>
      </c>
      <c r="O633" s="13">
        <f t="shared" si="45"/>
        <v>102.92499999999998</v>
      </c>
      <c r="P633" s="13">
        <f>_xlfn.XLOOKUP(Orders[[#This Row],[Product ID]],products!$A$1:$A$49,products!$G$1:$G$49,,0)</f>
        <v>1.2350999999999999</v>
      </c>
      <c r="Q633" s="13">
        <f t="shared" si="46"/>
        <v>6.1754999999999995</v>
      </c>
      <c r="R633" t="str">
        <f t="shared" si="48"/>
        <v>Robusta</v>
      </c>
      <c r="S633" t="str">
        <f t="shared" si="49"/>
        <v>Dark</v>
      </c>
      <c r="T633" t="str">
        <f>_xlfn.XLOOKUP(Orders[[#This Row],[Customer ID]],customers!$A$1:$A$1001,customers!$I$1:$I$1001,,0)</f>
        <v>Yes</v>
      </c>
    </row>
    <row r="634" spans="1:20" x14ac:dyDescent="0.35">
      <c r="A634" s="2" t="s">
        <v>4056</v>
      </c>
      <c r="B634" s="3">
        <v>44049</v>
      </c>
      <c r="C634" s="2" t="s">
        <v>4057</v>
      </c>
      <c r="D634" t="s">
        <v>6176</v>
      </c>
      <c r="E634" t="str">
        <f t="shared" si="47"/>
        <v>Excelsa-Light-0.5</v>
      </c>
      <c r="F634" s="2">
        <v>4</v>
      </c>
      <c r="G634" s="2" t="str" cm="1">
        <f t="array" ref="G634">_xlfn.XLOOKUP(C634, customers!$A$1:A1633,customers!$B$1:B1633,,0)</f>
        <v>Marjorie Yoxen</v>
      </c>
      <c r="H634" s="2" t="str" cm="1">
        <f t="array" ref="H634">IF(_xlfn.XLOOKUP(C634,customers!$A$1:A1633,customers!$C$1:C1633,,0) = 0,"", _xlfn.XLOOKUP(C634,customers!$A$1:A1633,customers!$C$1:C1633,,0))</f>
        <v>myoxenhk@google.com</v>
      </c>
      <c r="I634" s="2" t="str">
        <f>_xlfn.XLOOKUP(C634,customers!$A$1:$A$1001,customers!$G$1:$G$1001,,0)</f>
        <v>United States</v>
      </c>
      <c r="J634" s="2" t="str">
        <f>_xlfn.XLOOKUP(Orders[[#This Row],[Customer ID]],customers!$A$1:$A$1001,customers!$F$1:$F$1001,,0)</f>
        <v>Los Angeles</v>
      </c>
      <c r="K634" t="str">
        <f>INDEX(products!$A$1:$G$49,MATCH(orders!$D634,products!$A$1:$A$49,0),MATCH(orders!K$1,products!$A$1:$G$1,0))</f>
        <v>Exc</v>
      </c>
      <c r="L634" t="str">
        <f>INDEX(products!$A$1:$G$49,MATCH(orders!$D634,products!$A$1:$A$49,0),MATCH(orders!L$1,products!$A$1:$G$1,0))</f>
        <v>L</v>
      </c>
      <c r="M634" s="14">
        <f>INDEX(products!$A$1:$G$49,MATCH(orders!$D634,products!$A$1:$A$49,0),MATCH(orders!M$1,products!$A$1:$G$1,0))</f>
        <v>0.5</v>
      </c>
      <c r="N634" s="4">
        <f>INDEX(products!$A$1:$G$49,MATCH(orders!$D634,products!$A$1:$A$49,0),MATCH(orders!N$1,products!$A$1:$G$1,0))</f>
        <v>8.91</v>
      </c>
      <c r="O634" s="13">
        <f t="shared" si="45"/>
        <v>35.64</v>
      </c>
      <c r="P634" s="13">
        <f>_xlfn.XLOOKUP(Orders[[#This Row],[Product ID]],products!$A$1:$A$49,products!$G$1:$G$49,,0)</f>
        <v>0.98009999999999997</v>
      </c>
      <c r="Q634" s="13">
        <f t="shared" si="46"/>
        <v>3.9203999999999999</v>
      </c>
      <c r="R634" t="str">
        <f t="shared" si="48"/>
        <v>Execelsa</v>
      </c>
      <c r="S634" t="str">
        <f t="shared" si="49"/>
        <v>Light</v>
      </c>
      <c r="T634" t="str">
        <f>_xlfn.XLOOKUP(Orders[[#This Row],[Customer ID]],customers!$A$1:$A$1001,customers!$I$1:$I$1001,,0)</f>
        <v>No</v>
      </c>
    </row>
    <row r="635" spans="1:20" x14ac:dyDescent="0.35">
      <c r="A635" s="2" t="s">
        <v>4062</v>
      </c>
      <c r="B635" s="3">
        <v>43820</v>
      </c>
      <c r="C635" s="2" t="s">
        <v>4063</v>
      </c>
      <c r="D635" t="s">
        <v>6179</v>
      </c>
      <c r="E635" t="str">
        <f t="shared" si="47"/>
        <v>Robusta-Light-1</v>
      </c>
      <c r="F635" s="2">
        <v>4</v>
      </c>
      <c r="G635" s="2" t="str" cm="1">
        <f t="array" ref="G635">_xlfn.XLOOKUP(C635, customers!$A$1:A1634,customers!$B$1:B1634,,0)</f>
        <v>Gaspar McGavin</v>
      </c>
      <c r="H635" s="2" t="str" cm="1">
        <f t="array" ref="H635">IF(_xlfn.XLOOKUP(C635,customers!$A$1:A1634,customers!$C$1:C1634,,0) = 0,"", _xlfn.XLOOKUP(C635,customers!$A$1:A1634,customers!$C$1:C1634,,0))</f>
        <v>gmcgavinhl@histats.com</v>
      </c>
      <c r="I635" s="2" t="str">
        <f>_xlfn.XLOOKUP(C635,customers!$A$1:$A$1001,customers!$G$1:$G$1001,,0)</f>
        <v>United States</v>
      </c>
      <c r="J635" s="2" t="str">
        <f>_xlfn.XLOOKUP(Orders[[#This Row],[Customer ID]],customers!$A$1:$A$1001,customers!$F$1:$F$1001,,0)</f>
        <v>Wilkes Barre</v>
      </c>
      <c r="K635" t="str">
        <f>INDEX(products!$A$1:$G$49,MATCH(orders!$D635,products!$A$1:$A$49,0),MATCH(orders!K$1,products!$A$1:$G$1,0))</f>
        <v>Rob</v>
      </c>
      <c r="L635" t="str">
        <f>INDEX(products!$A$1:$G$49,MATCH(orders!$D635,products!$A$1:$A$49,0),MATCH(orders!L$1,products!$A$1:$G$1,0))</f>
        <v>L</v>
      </c>
      <c r="M635" s="14">
        <f>INDEX(products!$A$1:$G$49,MATCH(orders!$D635,products!$A$1:$A$49,0),MATCH(orders!M$1,products!$A$1:$G$1,0))</f>
        <v>1</v>
      </c>
      <c r="N635" s="4">
        <f>INDEX(products!$A$1:$G$49,MATCH(orders!$D635,products!$A$1:$A$49,0),MATCH(orders!N$1,products!$A$1:$G$1,0))</f>
        <v>11.95</v>
      </c>
      <c r="O635" s="13">
        <f t="shared" si="45"/>
        <v>47.8</v>
      </c>
      <c r="P635" s="13">
        <f>_xlfn.XLOOKUP(Orders[[#This Row],[Product ID]],products!$A$1:$A$49,products!$G$1:$G$49,,0)</f>
        <v>0.71699999999999997</v>
      </c>
      <c r="Q635" s="13">
        <f t="shared" si="46"/>
        <v>2.8679999999999999</v>
      </c>
      <c r="R635" t="str">
        <f t="shared" si="48"/>
        <v>Robusta</v>
      </c>
      <c r="S635" t="str">
        <f t="shared" si="49"/>
        <v>Light</v>
      </c>
      <c r="T635" t="str">
        <f>_xlfn.XLOOKUP(Orders[[#This Row],[Customer ID]],customers!$A$1:$A$1001,customers!$I$1:$I$1001,,0)</f>
        <v>No</v>
      </c>
    </row>
    <row r="636" spans="1:20" x14ac:dyDescent="0.35">
      <c r="A636" s="2" t="s">
        <v>4068</v>
      </c>
      <c r="B636" s="3">
        <v>43940</v>
      </c>
      <c r="C636" s="2" t="s">
        <v>4069</v>
      </c>
      <c r="D636" t="s">
        <v>6162</v>
      </c>
      <c r="E636" t="str">
        <f t="shared" si="47"/>
        <v>Liberica-Medium-1</v>
      </c>
      <c r="F636" s="2">
        <v>3</v>
      </c>
      <c r="G636" s="2" t="str" cm="1">
        <f t="array" ref="G636">_xlfn.XLOOKUP(C636, customers!$A$1:A1635,customers!$B$1:B1635,,0)</f>
        <v>Lindy Uttermare</v>
      </c>
      <c r="H636" s="2" t="str" cm="1">
        <f t="array" ref="H636">IF(_xlfn.XLOOKUP(C636,customers!$A$1:A1635,customers!$C$1:C1635,,0) = 0,"", _xlfn.XLOOKUP(C636,customers!$A$1:A1635,customers!$C$1:C1635,,0))</f>
        <v>luttermarehm@engadget.com</v>
      </c>
      <c r="I636" s="2" t="str">
        <f>_xlfn.XLOOKUP(C636,customers!$A$1:$A$1001,customers!$G$1:$G$1001,,0)</f>
        <v>United States</v>
      </c>
      <c r="J636" s="2" t="str">
        <f>_xlfn.XLOOKUP(Orders[[#This Row],[Customer ID]],customers!$A$1:$A$1001,customers!$F$1:$F$1001,,0)</f>
        <v>Denton</v>
      </c>
      <c r="K636" t="str">
        <f>INDEX(products!$A$1:$G$49,MATCH(orders!$D636,products!$A$1:$A$49,0),MATCH(orders!K$1,products!$A$1:$G$1,0))</f>
        <v>Lib</v>
      </c>
      <c r="L636" t="str">
        <f>INDEX(products!$A$1:$G$49,MATCH(orders!$D636,products!$A$1:$A$49,0),MATCH(orders!L$1,products!$A$1:$G$1,0))</f>
        <v>M</v>
      </c>
      <c r="M636" s="14">
        <f>INDEX(products!$A$1:$G$49,MATCH(orders!$D636,products!$A$1:$A$49,0),MATCH(orders!M$1,products!$A$1:$G$1,0))</f>
        <v>1</v>
      </c>
      <c r="N636" s="4">
        <f>INDEX(products!$A$1:$G$49,MATCH(orders!$D636,products!$A$1:$A$49,0),MATCH(orders!N$1,products!$A$1:$G$1,0))</f>
        <v>14.55</v>
      </c>
      <c r="O636" s="13">
        <f t="shared" si="45"/>
        <v>43.650000000000006</v>
      </c>
      <c r="P636" s="13">
        <f>_xlfn.XLOOKUP(Orders[[#This Row],[Product ID]],products!$A$1:$A$49,products!$G$1:$G$49,,0)</f>
        <v>1.8915000000000002</v>
      </c>
      <c r="Q636" s="13">
        <f t="shared" si="46"/>
        <v>5.6745000000000001</v>
      </c>
      <c r="R636" t="str">
        <f t="shared" si="48"/>
        <v>Liberica</v>
      </c>
      <c r="S636" t="str">
        <f t="shared" si="49"/>
        <v>Medium</v>
      </c>
      <c r="T636" t="str">
        <f>_xlfn.XLOOKUP(Orders[[#This Row],[Customer ID]],customers!$A$1:$A$1001,customers!$I$1:$I$1001,,0)</f>
        <v>No</v>
      </c>
    </row>
    <row r="637" spans="1:20" x14ac:dyDescent="0.35">
      <c r="A637" s="2" t="s">
        <v>4074</v>
      </c>
      <c r="B637" s="3">
        <v>44578</v>
      </c>
      <c r="C637" s="2" t="s">
        <v>4075</v>
      </c>
      <c r="D637" t="s">
        <v>6176</v>
      </c>
      <c r="E637" t="str">
        <f t="shared" si="47"/>
        <v>Excelsa-Light-0.5</v>
      </c>
      <c r="F637" s="2">
        <v>4</v>
      </c>
      <c r="G637" s="2" t="str" cm="1">
        <f t="array" ref="G637">_xlfn.XLOOKUP(C637, customers!$A$1:A1636,customers!$B$1:B1636,,0)</f>
        <v>Eal D'Ambrogio</v>
      </c>
      <c r="H637" s="2" t="str" cm="1">
        <f t="array" ref="H637">IF(_xlfn.XLOOKUP(C637,customers!$A$1:A1636,customers!$C$1:C1636,,0) = 0,"", _xlfn.XLOOKUP(C637,customers!$A$1:A1636,customers!$C$1:C1636,,0))</f>
        <v>edambrogiohn@techcrunch.com</v>
      </c>
      <c r="I637" s="2" t="str">
        <f>_xlfn.XLOOKUP(C637,customers!$A$1:$A$1001,customers!$G$1:$G$1001,,0)</f>
        <v>United States</v>
      </c>
      <c r="J637" s="2" t="str">
        <f>_xlfn.XLOOKUP(Orders[[#This Row],[Customer ID]],customers!$A$1:$A$1001,customers!$F$1:$F$1001,,0)</f>
        <v>Lees Summit</v>
      </c>
      <c r="K637" t="str">
        <f>INDEX(products!$A$1:$G$49,MATCH(orders!$D637,products!$A$1:$A$49,0),MATCH(orders!K$1,products!$A$1:$G$1,0))</f>
        <v>Exc</v>
      </c>
      <c r="L637" t="str">
        <f>INDEX(products!$A$1:$G$49,MATCH(orders!$D637,products!$A$1:$A$49,0),MATCH(orders!L$1,products!$A$1:$G$1,0))</f>
        <v>L</v>
      </c>
      <c r="M637" s="14">
        <f>INDEX(products!$A$1:$G$49,MATCH(orders!$D637,products!$A$1:$A$49,0),MATCH(orders!M$1,products!$A$1:$G$1,0))</f>
        <v>0.5</v>
      </c>
      <c r="N637" s="4">
        <f>INDEX(products!$A$1:$G$49,MATCH(orders!$D637,products!$A$1:$A$49,0),MATCH(orders!N$1,products!$A$1:$G$1,0))</f>
        <v>8.91</v>
      </c>
      <c r="O637" s="13">
        <f t="shared" si="45"/>
        <v>35.64</v>
      </c>
      <c r="P637" s="13">
        <f>_xlfn.XLOOKUP(Orders[[#This Row],[Product ID]],products!$A$1:$A$49,products!$G$1:$G$49,,0)</f>
        <v>0.98009999999999997</v>
      </c>
      <c r="Q637" s="13">
        <f t="shared" si="46"/>
        <v>3.9203999999999999</v>
      </c>
      <c r="R637" t="str">
        <f t="shared" si="48"/>
        <v>Execelsa</v>
      </c>
      <c r="S637" t="str">
        <f t="shared" si="49"/>
        <v>Light</v>
      </c>
      <c r="T637" t="str">
        <f>_xlfn.XLOOKUP(Orders[[#This Row],[Customer ID]],customers!$A$1:$A$1001,customers!$I$1:$I$1001,,0)</f>
        <v>Yes</v>
      </c>
    </row>
    <row r="638" spans="1:20" x14ac:dyDescent="0.35">
      <c r="A638" s="2" t="s">
        <v>4080</v>
      </c>
      <c r="B638" s="3">
        <v>43487</v>
      </c>
      <c r="C638" s="2" t="s">
        <v>4081</v>
      </c>
      <c r="D638" t="s">
        <v>6170</v>
      </c>
      <c r="E638" t="str">
        <f t="shared" si="47"/>
        <v>Liberica-Light-1</v>
      </c>
      <c r="F638" s="2">
        <v>6</v>
      </c>
      <c r="G638" s="2" t="str" cm="1">
        <f t="array" ref="G638">_xlfn.XLOOKUP(C638, customers!$A$1:A1637,customers!$B$1:B1637,,0)</f>
        <v>Carolee Winchcombe</v>
      </c>
      <c r="H638" s="2" t="str" cm="1">
        <f t="array" ref="H638">IF(_xlfn.XLOOKUP(C638,customers!$A$1:A1637,customers!$C$1:C1637,,0) = 0,"", _xlfn.XLOOKUP(C638,customers!$A$1:A1637,customers!$C$1:C1637,,0))</f>
        <v>cwinchcombeho@jiathis.com</v>
      </c>
      <c r="I638" s="2" t="str">
        <f>_xlfn.XLOOKUP(C638,customers!$A$1:$A$1001,customers!$G$1:$G$1001,,0)</f>
        <v>United States</v>
      </c>
      <c r="J638" s="2" t="str">
        <f>_xlfn.XLOOKUP(Orders[[#This Row],[Customer ID]],customers!$A$1:$A$1001,customers!$F$1:$F$1001,,0)</f>
        <v>Little Rock</v>
      </c>
      <c r="K638" t="str">
        <f>INDEX(products!$A$1:$G$49,MATCH(orders!$D638,products!$A$1:$A$49,0),MATCH(orders!K$1,products!$A$1:$G$1,0))</f>
        <v>Lib</v>
      </c>
      <c r="L638" t="str">
        <f>INDEX(products!$A$1:$G$49,MATCH(orders!$D638,products!$A$1:$A$49,0),MATCH(orders!L$1,products!$A$1:$G$1,0))</f>
        <v>L</v>
      </c>
      <c r="M638" s="14">
        <f>INDEX(products!$A$1:$G$49,MATCH(orders!$D638,products!$A$1:$A$49,0),MATCH(orders!M$1,products!$A$1:$G$1,0))</f>
        <v>1</v>
      </c>
      <c r="N638" s="4">
        <f>INDEX(products!$A$1:$G$49,MATCH(orders!$D638,products!$A$1:$A$49,0),MATCH(orders!N$1,products!$A$1:$G$1,0))</f>
        <v>15.85</v>
      </c>
      <c r="O638" s="13">
        <f t="shared" si="45"/>
        <v>95.1</v>
      </c>
      <c r="P638" s="13">
        <f>_xlfn.XLOOKUP(Orders[[#This Row],[Product ID]],products!$A$1:$A$49,products!$G$1:$G$49,,0)</f>
        <v>2.0605000000000002</v>
      </c>
      <c r="Q638" s="13">
        <f t="shared" si="46"/>
        <v>12.363000000000001</v>
      </c>
      <c r="R638" t="str">
        <f t="shared" si="48"/>
        <v>Liberica</v>
      </c>
      <c r="S638" t="str">
        <f t="shared" si="49"/>
        <v>Light</v>
      </c>
      <c r="T638" t="str">
        <f>_xlfn.XLOOKUP(Orders[[#This Row],[Customer ID]],customers!$A$1:$A$1001,customers!$I$1:$I$1001,,0)</f>
        <v>Yes</v>
      </c>
    </row>
    <row r="639" spans="1:20" x14ac:dyDescent="0.35">
      <c r="A639" s="2" t="s">
        <v>4086</v>
      </c>
      <c r="B639" s="3">
        <v>43889</v>
      </c>
      <c r="C639" s="2" t="s">
        <v>4087</v>
      </c>
      <c r="D639" t="s">
        <v>6166</v>
      </c>
      <c r="E639" t="str">
        <f t="shared" si="47"/>
        <v>Excelsa-Medium-2.5</v>
      </c>
      <c r="F639" s="2">
        <v>1</v>
      </c>
      <c r="G639" s="2" t="str" cm="1">
        <f t="array" ref="G639">_xlfn.XLOOKUP(C639, customers!$A$1:A1638,customers!$B$1:B1638,,0)</f>
        <v>Benedikta Paumier</v>
      </c>
      <c r="H639" s="2" t="str" cm="1">
        <f t="array" ref="H639">IF(_xlfn.XLOOKUP(C639,customers!$A$1:A1638,customers!$C$1:C1638,,0) = 0,"", _xlfn.XLOOKUP(C639,customers!$A$1:A1638,customers!$C$1:C1638,,0))</f>
        <v>bpaumierhp@umn.edu</v>
      </c>
      <c r="I639" s="2" t="str">
        <f>_xlfn.XLOOKUP(C639,customers!$A$1:$A$1001,customers!$G$1:$G$1001,,0)</f>
        <v>Ireland</v>
      </c>
      <c r="J639" s="2" t="str">
        <f>_xlfn.XLOOKUP(Orders[[#This Row],[Customer ID]],customers!$A$1:$A$1001,customers!$F$1:$F$1001,,0)</f>
        <v>Ballisodare</v>
      </c>
      <c r="K639" t="str">
        <f>INDEX(products!$A$1:$G$49,MATCH(orders!$D639,products!$A$1:$A$49,0),MATCH(orders!K$1,products!$A$1:$G$1,0))</f>
        <v>Exc</v>
      </c>
      <c r="L639" t="str">
        <f>INDEX(products!$A$1:$G$49,MATCH(orders!$D639,products!$A$1:$A$49,0),MATCH(orders!L$1,products!$A$1:$G$1,0))</f>
        <v>M</v>
      </c>
      <c r="M639" s="14">
        <f>INDEX(products!$A$1:$G$49,MATCH(orders!$D639,products!$A$1:$A$49,0),MATCH(orders!M$1,products!$A$1:$G$1,0))</f>
        <v>2.5</v>
      </c>
      <c r="N639" s="4">
        <f>INDEX(products!$A$1:$G$49,MATCH(orders!$D639,products!$A$1:$A$49,0),MATCH(orders!N$1,products!$A$1:$G$1,0))</f>
        <v>31.624999999999996</v>
      </c>
      <c r="O639" s="13">
        <f t="shared" si="45"/>
        <v>31.624999999999996</v>
      </c>
      <c r="P639" s="13">
        <f>_xlfn.XLOOKUP(Orders[[#This Row],[Product ID]],products!$A$1:$A$49,products!$G$1:$G$49,,0)</f>
        <v>3.4787499999999998</v>
      </c>
      <c r="Q639" s="13">
        <f t="shared" si="46"/>
        <v>3.4787499999999998</v>
      </c>
      <c r="R639" t="str">
        <f t="shared" si="48"/>
        <v>Execelsa</v>
      </c>
      <c r="S639" t="str">
        <f t="shared" si="49"/>
        <v>Medium</v>
      </c>
      <c r="T639" t="str">
        <f>_xlfn.XLOOKUP(Orders[[#This Row],[Customer ID]],customers!$A$1:$A$1001,customers!$I$1:$I$1001,,0)</f>
        <v>Yes</v>
      </c>
    </row>
    <row r="640" spans="1:20" x14ac:dyDescent="0.35">
      <c r="A640" s="2" t="s">
        <v>4093</v>
      </c>
      <c r="B640" s="3">
        <v>43684</v>
      </c>
      <c r="C640" s="2" t="s">
        <v>4094</v>
      </c>
      <c r="D640" t="s">
        <v>6175</v>
      </c>
      <c r="E640" t="str">
        <f t="shared" si="47"/>
        <v>Arabica-Medium-2.5</v>
      </c>
      <c r="F640" s="2">
        <v>3</v>
      </c>
      <c r="G640" s="2" t="str" cm="1">
        <f t="array" ref="G640">_xlfn.XLOOKUP(C640, customers!$A$1:A1639,customers!$B$1:B1639,,0)</f>
        <v>Neville Piatto</v>
      </c>
      <c r="H640" s="2" t="str" cm="1">
        <f t="array" ref="H640">IF(_xlfn.XLOOKUP(C640,customers!$A$1:A1639,customers!$C$1:C1639,,0) = 0,"", _xlfn.XLOOKUP(C640,customers!$A$1:A1639,customers!$C$1:C1639,,0))</f>
        <v/>
      </c>
      <c r="I640" s="2" t="str">
        <f>_xlfn.XLOOKUP(C640,customers!$A$1:$A$1001,customers!$G$1:$G$1001,,0)</f>
        <v>Ireland</v>
      </c>
      <c r="J640" s="2" t="str">
        <f>_xlfn.XLOOKUP(Orders[[#This Row],[Customer ID]],customers!$A$1:$A$1001,customers!$F$1:$F$1001,,0)</f>
        <v>Daingean</v>
      </c>
      <c r="K640" t="str">
        <f>INDEX(products!$A$1:$G$49,MATCH(orders!$D640,products!$A$1:$A$49,0),MATCH(orders!K$1,products!$A$1:$G$1,0))</f>
        <v>Ara</v>
      </c>
      <c r="L640" t="str">
        <f>INDEX(products!$A$1:$G$49,MATCH(orders!$D640,products!$A$1:$A$49,0),MATCH(orders!L$1,products!$A$1:$G$1,0))</f>
        <v>M</v>
      </c>
      <c r="M640" s="14">
        <f>INDEX(products!$A$1:$G$49,MATCH(orders!$D640,products!$A$1:$A$49,0),MATCH(orders!M$1,products!$A$1:$G$1,0))</f>
        <v>2.5</v>
      </c>
      <c r="N640" s="4">
        <f>INDEX(products!$A$1:$G$49,MATCH(orders!$D640,products!$A$1:$A$49,0),MATCH(orders!N$1,products!$A$1:$G$1,0))</f>
        <v>25.874999999999996</v>
      </c>
      <c r="O640" s="13">
        <f t="shared" si="45"/>
        <v>77.624999999999986</v>
      </c>
      <c r="P640" s="13">
        <f>_xlfn.XLOOKUP(Orders[[#This Row],[Product ID]],products!$A$1:$A$49,products!$G$1:$G$49,,0)</f>
        <v>2.3287499999999994</v>
      </c>
      <c r="Q640" s="13">
        <f t="shared" si="46"/>
        <v>6.9862499999999983</v>
      </c>
      <c r="R640" t="str">
        <f t="shared" si="48"/>
        <v>Arabica</v>
      </c>
      <c r="S640" t="str">
        <f t="shared" si="49"/>
        <v>Medium</v>
      </c>
      <c r="T640" t="str">
        <f>_xlfn.XLOOKUP(Orders[[#This Row],[Customer ID]],customers!$A$1:$A$1001,customers!$I$1:$I$1001,,0)</f>
        <v>Yes</v>
      </c>
    </row>
    <row r="641" spans="1:20" x14ac:dyDescent="0.35">
      <c r="A641" s="2" t="s">
        <v>4098</v>
      </c>
      <c r="B641" s="3">
        <v>44331</v>
      </c>
      <c r="C641" s="2" t="s">
        <v>4099</v>
      </c>
      <c r="D641" t="s">
        <v>6150</v>
      </c>
      <c r="E641" t="str">
        <f t="shared" si="47"/>
        <v>Liberica-Dark-0.2</v>
      </c>
      <c r="F641" s="2">
        <v>1</v>
      </c>
      <c r="G641" s="2" t="str" cm="1">
        <f t="array" ref="G641">_xlfn.XLOOKUP(C641, customers!$A$1:A1640,customers!$B$1:B1640,,0)</f>
        <v>Jeno Capey</v>
      </c>
      <c r="H641" s="2" t="str" cm="1">
        <f t="array" ref="H641">IF(_xlfn.XLOOKUP(C641,customers!$A$1:A1640,customers!$C$1:C1640,,0) = 0,"", _xlfn.XLOOKUP(C641,customers!$A$1:A1640,customers!$C$1:C1640,,0))</f>
        <v>jcapeyhr@bravesites.com</v>
      </c>
      <c r="I641" s="2" t="str">
        <f>_xlfn.XLOOKUP(C641,customers!$A$1:$A$1001,customers!$G$1:$G$1001,,0)</f>
        <v>United States</v>
      </c>
      <c r="J641" s="2" t="str">
        <f>_xlfn.XLOOKUP(Orders[[#This Row],[Customer ID]],customers!$A$1:$A$1001,customers!$F$1:$F$1001,,0)</f>
        <v>Erie</v>
      </c>
      <c r="K641" t="str">
        <f>INDEX(products!$A$1:$G$49,MATCH(orders!$D641,products!$A$1:$A$49,0),MATCH(orders!K$1,products!$A$1:$G$1,0))</f>
        <v>Lib</v>
      </c>
      <c r="L641" t="str">
        <f>INDEX(products!$A$1:$G$49,MATCH(orders!$D641,products!$A$1:$A$49,0),MATCH(orders!L$1,products!$A$1:$G$1,0))</f>
        <v>D</v>
      </c>
      <c r="M641" s="14">
        <f>INDEX(products!$A$1:$G$49,MATCH(orders!$D641,products!$A$1:$A$49,0),MATCH(orders!M$1,products!$A$1:$G$1,0))</f>
        <v>0.2</v>
      </c>
      <c r="N641" s="4">
        <f>INDEX(products!$A$1:$G$49,MATCH(orders!$D641,products!$A$1:$A$49,0),MATCH(orders!N$1,products!$A$1:$G$1,0))</f>
        <v>3.8849999999999998</v>
      </c>
      <c r="O641" s="13">
        <f t="shared" si="45"/>
        <v>3.8849999999999998</v>
      </c>
      <c r="P641" s="13">
        <f>_xlfn.XLOOKUP(Orders[[#This Row],[Product ID]],products!$A$1:$A$49,products!$G$1:$G$49,,0)</f>
        <v>0.50505</v>
      </c>
      <c r="Q641" s="13">
        <f t="shared" si="46"/>
        <v>0.50505</v>
      </c>
      <c r="R641" t="str">
        <f t="shared" si="48"/>
        <v>Liberica</v>
      </c>
      <c r="S641" t="str">
        <f t="shared" si="49"/>
        <v>Dark</v>
      </c>
      <c r="T641" t="str">
        <f>_xlfn.XLOOKUP(Orders[[#This Row],[Customer ID]],customers!$A$1:$A$1001,customers!$I$1:$I$1001,,0)</f>
        <v>Yes</v>
      </c>
    </row>
    <row r="642" spans="1:20" x14ac:dyDescent="0.35">
      <c r="A642" s="2" t="s">
        <v>4104</v>
      </c>
      <c r="B642" s="3">
        <v>44547</v>
      </c>
      <c r="C642" s="2" t="s">
        <v>4152</v>
      </c>
      <c r="D642" t="s">
        <v>6142</v>
      </c>
      <c r="E642" t="str">
        <f t="shared" si="47"/>
        <v>Robusta-Light-2.5</v>
      </c>
      <c r="F642" s="2">
        <v>5</v>
      </c>
      <c r="G642" s="2" t="str" cm="1">
        <f t="array" ref="G642">_xlfn.XLOOKUP(C642, customers!$A$1:A1641,customers!$B$1:B1641,,0)</f>
        <v>Tuckie Mathonnet</v>
      </c>
      <c r="H642" s="2" t="str" cm="1">
        <f t="array" ref="H642">IF(_xlfn.XLOOKUP(C642,customers!$A$1:A1641,customers!$C$1:C1641,,0) = 0,"", _xlfn.XLOOKUP(C642,customers!$A$1:A1641,customers!$C$1:C1641,,0))</f>
        <v>tmathonneti0@google.co.jp</v>
      </c>
      <c r="I642" s="2" t="str">
        <f>_xlfn.XLOOKUP(C642,customers!$A$1:$A$1001,customers!$G$1:$G$1001,,0)</f>
        <v>United States</v>
      </c>
      <c r="J642" s="2" t="str">
        <f>_xlfn.XLOOKUP(Orders[[#This Row],[Customer ID]],customers!$A$1:$A$1001,customers!$F$1:$F$1001,,0)</f>
        <v>Columbus</v>
      </c>
      <c r="K642" t="str">
        <f>INDEX(products!$A$1:$G$49,MATCH(orders!$D642,products!$A$1:$A$49,0),MATCH(orders!K$1,products!$A$1:$G$1,0))</f>
        <v>Rob</v>
      </c>
      <c r="L642" t="str">
        <f>INDEX(products!$A$1:$G$49,MATCH(orders!$D642,products!$A$1:$A$49,0),MATCH(orders!L$1,products!$A$1:$G$1,0))</f>
        <v>L</v>
      </c>
      <c r="M642" s="14">
        <f>INDEX(products!$A$1:$G$49,MATCH(orders!$D642,products!$A$1:$A$49,0),MATCH(orders!M$1,products!$A$1:$G$1,0))</f>
        <v>2.5</v>
      </c>
      <c r="N642" s="4">
        <f>INDEX(products!$A$1:$G$49,MATCH(orders!$D642,products!$A$1:$A$49,0),MATCH(orders!N$1,products!$A$1:$G$1,0))</f>
        <v>27.484999999999996</v>
      </c>
      <c r="O642" s="13">
        <f t="shared" ref="O642:O705" si="50">N642*F642</f>
        <v>137.42499999999998</v>
      </c>
      <c r="P642" s="13">
        <f>_xlfn.XLOOKUP(Orders[[#This Row],[Product ID]],products!$A$1:$A$49,products!$G$1:$G$49,,0)</f>
        <v>1.6490999999999998</v>
      </c>
      <c r="Q642" s="13">
        <f t="shared" ref="Q642:Q705" si="51">P642*F642</f>
        <v>8.2454999999999998</v>
      </c>
      <c r="R642" t="str">
        <f t="shared" si="48"/>
        <v>Robusta</v>
      </c>
      <c r="S642" t="str">
        <f t="shared" si="49"/>
        <v>Light</v>
      </c>
      <c r="T642" t="str">
        <f>_xlfn.XLOOKUP(Orders[[#This Row],[Customer ID]],customers!$A$1:$A$1001,customers!$I$1:$I$1001,,0)</f>
        <v>No</v>
      </c>
    </row>
    <row r="643" spans="1:20" x14ac:dyDescent="0.35">
      <c r="A643" s="2" t="s">
        <v>4109</v>
      </c>
      <c r="B643" s="3">
        <v>44448</v>
      </c>
      <c r="C643" s="2" t="s">
        <v>4110</v>
      </c>
      <c r="D643" t="s">
        <v>6179</v>
      </c>
      <c r="E643" t="str">
        <f t="shared" ref="E643:E706" si="52">IF(LEFT(D643,1)="R", "Robusta",
    IF(LEFT(D643,1)="A", "Arabica",
        IF(LEFT(D643,1)="E", "Excelsa",
            IF(LEFT(D643,1)="L", "Liberica", "")
        )
    )
) &amp; "-" &amp;
IF(MID(D643,3,1)="D", "Dark",
    IF(MID(D643,3,1)="M", "Medium",
        IF(MID(D643,3,1)="L", "Light", "")
    )
) &amp; "-" &amp;
MID(D643,5,LEN(D643)-4)</f>
        <v>Robusta-Light-1</v>
      </c>
      <c r="F643" s="2">
        <v>3</v>
      </c>
      <c r="G643" s="2" t="str" cm="1">
        <f t="array" ref="G643">_xlfn.XLOOKUP(C643, customers!$A$1:A1642,customers!$B$1:B1642,,0)</f>
        <v>Yardley Basill</v>
      </c>
      <c r="H643" s="2" t="str" cm="1">
        <f t="array" ref="H643">IF(_xlfn.XLOOKUP(C643,customers!$A$1:A1642,customers!$C$1:C1642,,0) = 0,"", _xlfn.XLOOKUP(C643,customers!$A$1:A1642,customers!$C$1:C1642,,0))</f>
        <v>ybasillht@theguardian.com</v>
      </c>
      <c r="I643" s="2" t="str">
        <f>_xlfn.XLOOKUP(C643,customers!$A$1:$A$1001,customers!$G$1:$G$1001,,0)</f>
        <v>United States</v>
      </c>
      <c r="J643" s="2" t="str">
        <f>_xlfn.XLOOKUP(Orders[[#This Row],[Customer ID]],customers!$A$1:$A$1001,customers!$F$1:$F$1001,,0)</f>
        <v>Pittsburgh</v>
      </c>
      <c r="K643" t="str">
        <f>INDEX(products!$A$1:$G$49,MATCH(orders!$D643,products!$A$1:$A$49,0),MATCH(orders!K$1,products!$A$1:$G$1,0))</f>
        <v>Rob</v>
      </c>
      <c r="L643" t="str">
        <f>INDEX(products!$A$1:$G$49,MATCH(orders!$D643,products!$A$1:$A$49,0),MATCH(orders!L$1,products!$A$1:$G$1,0))</f>
        <v>L</v>
      </c>
      <c r="M643" s="14">
        <f>INDEX(products!$A$1:$G$49,MATCH(orders!$D643,products!$A$1:$A$49,0),MATCH(orders!M$1,products!$A$1:$G$1,0))</f>
        <v>1</v>
      </c>
      <c r="N643" s="4">
        <f>INDEX(products!$A$1:$G$49,MATCH(orders!$D643,products!$A$1:$A$49,0),MATCH(orders!N$1,products!$A$1:$G$1,0))</f>
        <v>11.95</v>
      </c>
      <c r="O643" s="13">
        <f t="shared" si="50"/>
        <v>35.849999999999994</v>
      </c>
      <c r="P643" s="13">
        <f>_xlfn.XLOOKUP(Orders[[#This Row],[Product ID]],products!$A$1:$A$49,products!$G$1:$G$49,,0)</f>
        <v>0.71699999999999997</v>
      </c>
      <c r="Q643" s="13">
        <f t="shared" si="51"/>
        <v>2.1509999999999998</v>
      </c>
      <c r="R643" t="str">
        <f t="shared" ref="R643:R706" si="53">IF(K643="Rob","Robusta",IF(K643="Exc","Execelsa",IF(K643="Ara","Arabica",IF(K643="Lib","Liberica",""))))</f>
        <v>Robusta</v>
      </c>
      <c r="S643" t="str">
        <f t="shared" ref="S643:S706" si="54" xml:space="preserve"> IF(L643="M", "Medium", IF(L643="L","Light",IF(L643="D","Dark","")))</f>
        <v>Light</v>
      </c>
      <c r="T643" t="str">
        <f>_xlfn.XLOOKUP(Orders[[#This Row],[Customer ID]],customers!$A$1:$A$1001,customers!$I$1:$I$1001,,0)</f>
        <v>Yes</v>
      </c>
    </row>
    <row r="644" spans="1:20" x14ac:dyDescent="0.35">
      <c r="A644" s="2" t="s">
        <v>4115</v>
      </c>
      <c r="B644" s="3">
        <v>43880</v>
      </c>
      <c r="C644" s="2" t="s">
        <v>4116</v>
      </c>
      <c r="D644" t="s">
        <v>6156</v>
      </c>
      <c r="E644" t="str">
        <f t="shared" si="52"/>
        <v>Excelsa-Medium-0.2</v>
      </c>
      <c r="F644" s="2">
        <v>2</v>
      </c>
      <c r="G644" s="2" t="str" cm="1">
        <f t="array" ref="G644">_xlfn.XLOOKUP(C644, customers!$A$1:A1643,customers!$B$1:B1643,,0)</f>
        <v>Maggy Baistow</v>
      </c>
      <c r="H644" s="2" t="str" cm="1">
        <f t="array" ref="H644">IF(_xlfn.XLOOKUP(C644,customers!$A$1:A1643,customers!$C$1:C1643,,0) = 0,"", _xlfn.XLOOKUP(C644,customers!$A$1:A1643,customers!$C$1:C1643,,0))</f>
        <v>mbaistowhu@i2i.jp</v>
      </c>
      <c r="I644" s="2" t="str">
        <f>_xlfn.XLOOKUP(C644,customers!$A$1:$A$1001,customers!$G$1:$G$1001,,0)</f>
        <v>United Kingdom</v>
      </c>
      <c r="J644" s="2" t="str">
        <f>_xlfn.XLOOKUP(Orders[[#This Row],[Customer ID]],customers!$A$1:$A$1001,customers!$F$1:$F$1001,,0)</f>
        <v>Ford</v>
      </c>
      <c r="K644" t="str">
        <f>INDEX(products!$A$1:$G$49,MATCH(orders!$D644,products!$A$1:$A$49,0),MATCH(orders!K$1,products!$A$1:$G$1,0))</f>
        <v>Exc</v>
      </c>
      <c r="L644" t="str">
        <f>INDEX(products!$A$1:$G$49,MATCH(orders!$D644,products!$A$1:$A$49,0),MATCH(orders!L$1,products!$A$1:$G$1,0))</f>
        <v>M</v>
      </c>
      <c r="M644" s="14">
        <f>INDEX(products!$A$1:$G$49,MATCH(orders!$D644,products!$A$1:$A$49,0),MATCH(orders!M$1,products!$A$1:$G$1,0))</f>
        <v>0.2</v>
      </c>
      <c r="N644" s="4">
        <f>INDEX(products!$A$1:$G$49,MATCH(orders!$D644,products!$A$1:$A$49,0),MATCH(orders!N$1,products!$A$1:$G$1,0))</f>
        <v>4.125</v>
      </c>
      <c r="O644" s="13">
        <f t="shared" si="50"/>
        <v>8.25</v>
      </c>
      <c r="P644" s="13">
        <f>_xlfn.XLOOKUP(Orders[[#This Row],[Product ID]],products!$A$1:$A$49,products!$G$1:$G$49,,0)</f>
        <v>0.45374999999999999</v>
      </c>
      <c r="Q644" s="13">
        <f t="shared" si="51"/>
        <v>0.90749999999999997</v>
      </c>
      <c r="R644" t="str">
        <f t="shared" si="53"/>
        <v>Execelsa</v>
      </c>
      <c r="S644" t="str">
        <f t="shared" si="54"/>
        <v>Medium</v>
      </c>
      <c r="T644" t="str">
        <f>_xlfn.XLOOKUP(Orders[[#This Row],[Customer ID]],customers!$A$1:$A$1001,customers!$I$1:$I$1001,,0)</f>
        <v>Yes</v>
      </c>
    </row>
    <row r="645" spans="1:20" x14ac:dyDescent="0.35">
      <c r="A645" s="2" t="s">
        <v>4123</v>
      </c>
      <c r="B645" s="3">
        <v>44011</v>
      </c>
      <c r="C645" s="2" t="s">
        <v>4124</v>
      </c>
      <c r="D645" t="s">
        <v>6148</v>
      </c>
      <c r="E645" t="str">
        <f t="shared" si="52"/>
        <v>Excelsa-Light-2.5</v>
      </c>
      <c r="F645" s="2">
        <v>3</v>
      </c>
      <c r="G645" s="2" t="str" cm="1">
        <f t="array" ref="G645">_xlfn.XLOOKUP(C645, customers!$A$1:A1644,customers!$B$1:B1644,,0)</f>
        <v>Courtney Pallant</v>
      </c>
      <c r="H645" s="2" t="str" cm="1">
        <f t="array" ref="H645">IF(_xlfn.XLOOKUP(C645,customers!$A$1:A1644,customers!$C$1:C1644,,0) = 0,"", _xlfn.XLOOKUP(C645,customers!$A$1:A1644,customers!$C$1:C1644,,0))</f>
        <v>cpallanthv@typepad.com</v>
      </c>
      <c r="I645" s="2" t="str">
        <f>_xlfn.XLOOKUP(C645,customers!$A$1:$A$1001,customers!$G$1:$G$1001,,0)</f>
        <v>United States</v>
      </c>
      <c r="J645" s="2" t="str">
        <f>_xlfn.XLOOKUP(Orders[[#This Row],[Customer ID]],customers!$A$1:$A$1001,customers!$F$1:$F$1001,,0)</f>
        <v>Dallas</v>
      </c>
      <c r="K645" t="str">
        <f>INDEX(products!$A$1:$G$49,MATCH(orders!$D645,products!$A$1:$A$49,0),MATCH(orders!K$1,products!$A$1:$G$1,0))</f>
        <v>Exc</v>
      </c>
      <c r="L645" t="str">
        <f>INDEX(products!$A$1:$G$49,MATCH(orders!$D645,products!$A$1:$A$49,0),MATCH(orders!L$1,products!$A$1:$G$1,0))</f>
        <v>L</v>
      </c>
      <c r="M645" s="14">
        <f>INDEX(products!$A$1:$G$49,MATCH(orders!$D645,products!$A$1:$A$49,0),MATCH(orders!M$1,products!$A$1:$G$1,0))</f>
        <v>2.5</v>
      </c>
      <c r="N645" s="4">
        <f>INDEX(products!$A$1:$G$49,MATCH(orders!$D645,products!$A$1:$A$49,0),MATCH(orders!N$1,products!$A$1:$G$1,0))</f>
        <v>34.154999999999994</v>
      </c>
      <c r="O645" s="13">
        <f t="shared" si="50"/>
        <v>102.46499999999997</v>
      </c>
      <c r="P645" s="13">
        <f>_xlfn.XLOOKUP(Orders[[#This Row],[Product ID]],products!$A$1:$A$49,products!$G$1:$G$49,,0)</f>
        <v>3.7570499999999996</v>
      </c>
      <c r="Q645" s="13">
        <f t="shared" si="51"/>
        <v>11.271149999999999</v>
      </c>
      <c r="R645" t="str">
        <f t="shared" si="53"/>
        <v>Execelsa</v>
      </c>
      <c r="S645" t="str">
        <f t="shared" si="54"/>
        <v>Light</v>
      </c>
      <c r="T645" t="str">
        <f>_xlfn.XLOOKUP(Orders[[#This Row],[Customer ID]],customers!$A$1:$A$1001,customers!$I$1:$I$1001,,0)</f>
        <v>Yes</v>
      </c>
    </row>
    <row r="646" spans="1:20" x14ac:dyDescent="0.35">
      <c r="A646" s="2" t="s">
        <v>4128</v>
      </c>
      <c r="B646" s="3">
        <v>44694</v>
      </c>
      <c r="C646" s="2" t="s">
        <v>4129</v>
      </c>
      <c r="D646" t="s">
        <v>6149</v>
      </c>
      <c r="E646" t="str">
        <f t="shared" si="52"/>
        <v>Robusta-Dark-2.5</v>
      </c>
      <c r="F646" s="2">
        <v>2</v>
      </c>
      <c r="G646" s="2" t="str" cm="1">
        <f t="array" ref="G646">_xlfn.XLOOKUP(C646, customers!$A$1:A1645,customers!$B$1:B1645,,0)</f>
        <v>Marne Mingey</v>
      </c>
      <c r="H646" s="2" t="str" cm="1">
        <f t="array" ref="H646">IF(_xlfn.XLOOKUP(C646,customers!$A$1:A1645,customers!$C$1:C1645,,0) = 0,"", _xlfn.XLOOKUP(C646,customers!$A$1:A1645,customers!$C$1:C1645,,0))</f>
        <v/>
      </c>
      <c r="I646" s="2" t="str">
        <f>_xlfn.XLOOKUP(C646,customers!$A$1:$A$1001,customers!$G$1:$G$1001,,0)</f>
        <v>United States</v>
      </c>
      <c r="J646" s="2" t="str">
        <f>_xlfn.XLOOKUP(Orders[[#This Row],[Customer ID]],customers!$A$1:$A$1001,customers!$F$1:$F$1001,,0)</f>
        <v>Miami</v>
      </c>
      <c r="K646" t="str">
        <f>INDEX(products!$A$1:$G$49,MATCH(orders!$D646,products!$A$1:$A$49,0),MATCH(orders!K$1,products!$A$1:$G$1,0))</f>
        <v>Rob</v>
      </c>
      <c r="L646" t="str">
        <f>INDEX(products!$A$1:$G$49,MATCH(orders!$D646,products!$A$1:$A$49,0),MATCH(orders!L$1,products!$A$1:$G$1,0))</f>
        <v>D</v>
      </c>
      <c r="M646" s="14">
        <f>INDEX(products!$A$1:$G$49,MATCH(orders!$D646,products!$A$1:$A$49,0),MATCH(orders!M$1,products!$A$1:$G$1,0))</f>
        <v>2.5</v>
      </c>
      <c r="N646" s="4">
        <f>INDEX(products!$A$1:$G$49,MATCH(orders!$D646,products!$A$1:$A$49,0),MATCH(orders!N$1,products!$A$1:$G$1,0))</f>
        <v>20.584999999999997</v>
      </c>
      <c r="O646" s="13">
        <f t="shared" si="50"/>
        <v>41.169999999999995</v>
      </c>
      <c r="P646" s="13">
        <f>_xlfn.XLOOKUP(Orders[[#This Row],[Product ID]],products!$A$1:$A$49,products!$G$1:$G$49,,0)</f>
        <v>1.2350999999999999</v>
      </c>
      <c r="Q646" s="13">
        <f t="shared" si="51"/>
        <v>2.4701999999999997</v>
      </c>
      <c r="R646" t="str">
        <f t="shared" si="53"/>
        <v>Robusta</v>
      </c>
      <c r="S646" t="str">
        <f t="shared" si="54"/>
        <v>Dark</v>
      </c>
      <c r="T646" t="str">
        <f>_xlfn.XLOOKUP(Orders[[#This Row],[Customer ID]],customers!$A$1:$A$1001,customers!$I$1:$I$1001,,0)</f>
        <v>No</v>
      </c>
    </row>
    <row r="647" spans="1:20" x14ac:dyDescent="0.35">
      <c r="A647" s="2" t="s">
        <v>4133</v>
      </c>
      <c r="B647" s="3">
        <v>44106</v>
      </c>
      <c r="C647" s="2" t="s">
        <v>4134</v>
      </c>
      <c r="D647" t="s">
        <v>6168</v>
      </c>
      <c r="E647" t="str">
        <f t="shared" si="52"/>
        <v>Arabica-Dark-2.5</v>
      </c>
      <c r="F647" s="2">
        <v>3</v>
      </c>
      <c r="G647" s="2" t="str" cm="1">
        <f t="array" ref="G647">_xlfn.XLOOKUP(C647, customers!$A$1:A1646,customers!$B$1:B1646,,0)</f>
        <v>Denny O' Ronan</v>
      </c>
      <c r="H647" s="2" t="str" cm="1">
        <f t="array" ref="H647">IF(_xlfn.XLOOKUP(C647,customers!$A$1:A1646,customers!$C$1:C1646,,0) = 0,"", _xlfn.XLOOKUP(C647,customers!$A$1:A1646,customers!$C$1:C1646,,0))</f>
        <v>dohx@redcross.org</v>
      </c>
      <c r="I647" s="2" t="str">
        <f>_xlfn.XLOOKUP(C647,customers!$A$1:$A$1001,customers!$G$1:$G$1001,,0)</f>
        <v>United States</v>
      </c>
      <c r="J647" s="2" t="str">
        <f>_xlfn.XLOOKUP(Orders[[#This Row],[Customer ID]],customers!$A$1:$A$1001,customers!$F$1:$F$1001,,0)</f>
        <v>San Angelo</v>
      </c>
      <c r="K647" t="str">
        <f>INDEX(products!$A$1:$G$49,MATCH(orders!$D647,products!$A$1:$A$49,0),MATCH(orders!K$1,products!$A$1:$G$1,0))</f>
        <v>Ara</v>
      </c>
      <c r="L647" t="str">
        <f>INDEX(products!$A$1:$G$49,MATCH(orders!$D647,products!$A$1:$A$49,0),MATCH(orders!L$1,products!$A$1:$G$1,0))</f>
        <v>D</v>
      </c>
      <c r="M647" s="14">
        <f>INDEX(products!$A$1:$G$49,MATCH(orders!$D647,products!$A$1:$A$49,0),MATCH(orders!M$1,products!$A$1:$G$1,0))</f>
        <v>2.5</v>
      </c>
      <c r="N647" s="4">
        <f>INDEX(products!$A$1:$G$49,MATCH(orders!$D647,products!$A$1:$A$49,0),MATCH(orders!N$1,products!$A$1:$G$1,0))</f>
        <v>22.884999999999998</v>
      </c>
      <c r="O647" s="13">
        <f t="shared" si="50"/>
        <v>68.655000000000001</v>
      </c>
      <c r="P647" s="13">
        <f>_xlfn.XLOOKUP(Orders[[#This Row],[Product ID]],products!$A$1:$A$49,products!$G$1:$G$49,,0)</f>
        <v>2.0596499999999995</v>
      </c>
      <c r="Q647" s="13">
        <f t="shared" si="51"/>
        <v>6.1789499999999986</v>
      </c>
      <c r="R647" t="str">
        <f t="shared" si="53"/>
        <v>Arabica</v>
      </c>
      <c r="S647" t="str">
        <f t="shared" si="54"/>
        <v>Dark</v>
      </c>
      <c r="T647" t="str">
        <f>_xlfn.XLOOKUP(Orders[[#This Row],[Customer ID]],customers!$A$1:$A$1001,customers!$I$1:$I$1001,,0)</f>
        <v>Yes</v>
      </c>
    </row>
    <row r="648" spans="1:20" x14ac:dyDescent="0.35">
      <c r="A648" s="2" t="s">
        <v>4139</v>
      </c>
      <c r="B648" s="3">
        <v>44532</v>
      </c>
      <c r="C648" s="2" t="s">
        <v>4140</v>
      </c>
      <c r="D648" t="s">
        <v>6147</v>
      </c>
      <c r="E648" t="str">
        <f t="shared" si="52"/>
        <v>Arabica-Dark-1</v>
      </c>
      <c r="F648" s="2">
        <v>1</v>
      </c>
      <c r="G648" s="2" t="str" cm="1">
        <f t="array" ref="G648">_xlfn.XLOOKUP(C648, customers!$A$1:A1647,customers!$B$1:B1647,,0)</f>
        <v>Dottie Rallin</v>
      </c>
      <c r="H648" s="2" t="str" cm="1">
        <f t="array" ref="H648">IF(_xlfn.XLOOKUP(C648,customers!$A$1:A1647,customers!$C$1:C1647,,0) = 0,"", _xlfn.XLOOKUP(C648,customers!$A$1:A1647,customers!$C$1:C1647,,0))</f>
        <v>drallinhy@howstuffworks.com</v>
      </c>
      <c r="I648" s="2" t="str">
        <f>_xlfn.XLOOKUP(C648,customers!$A$1:$A$1001,customers!$G$1:$G$1001,,0)</f>
        <v>United States</v>
      </c>
      <c r="J648" s="2" t="str">
        <f>_xlfn.XLOOKUP(Orders[[#This Row],[Customer ID]],customers!$A$1:$A$1001,customers!$F$1:$F$1001,,0)</f>
        <v>Albany</v>
      </c>
      <c r="K648" t="str">
        <f>INDEX(products!$A$1:$G$49,MATCH(orders!$D648,products!$A$1:$A$49,0),MATCH(orders!K$1,products!$A$1:$G$1,0))</f>
        <v>Ara</v>
      </c>
      <c r="L648" t="str">
        <f>INDEX(products!$A$1:$G$49,MATCH(orders!$D648,products!$A$1:$A$49,0),MATCH(orders!L$1,products!$A$1:$G$1,0))</f>
        <v>D</v>
      </c>
      <c r="M648" s="14">
        <f>INDEX(products!$A$1:$G$49,MATCH(orders!$D648,products!$A$1:$A$49,0),MATCH(orders!M$1,products!$A$1:$G$1,0))</f>
        <v>1</v>
      </c>
      <c r="N648" s="4">
        <f>INDEX(products!$A$1:$G$49,MATCH(orders!$D648,products!$A$1:$A$49,0),MATCH(orders!N$1,products!$A$1:$G$1,0))</f>
        <v>9.9499999999999993</v>
      </c>
      <c r="O648" s="13">
        <f t="shared" si="50"/>
        <v>9.9499999999999993</v>
      </c>
      <c r="P648" s="13">
        <f>_xlfn.XLOOKUP(Orders[[#This Row],[Product ID]],products!$A$1:$A$49,products!$G$1:$G$49,,0)</f>
        <v>0.89549999999999985</v>
      </c>
      <c r="Q648" s="13">
        <f t="shared" si="51"/>
        <v>0.89549999999999985</v>
      </c>
      <c r="R648" t="str">
        <f t="shared" si="53"/>
        <v>Arabica</v>
      </c>
      <c r="S648" t="str">
        <f t="shared" si="54"/>
        <v>Dark</v>
      </c>
      <c r="T648" t="str">
        <f>_xlfn.XLOOKUP(Orders[[#This Row],[Customer ID]],customers!$A$1:$A$1001,customers!$I$1:$I$1001,,0)</f>
        <v>Yes</v>
      </c>
    </row>
    <row r="649" spans="1:20" x14ac:dyDescent="0.35">
      <c r="A649" s="2" t="s">
        <v>4145</v>
      </c>
      <c r="B649" s="3">
        <v>44502</v>
      </c>
      <c r="C649" s="2" t="s">
        <v>4146</v>
      </c>
      <c r="D649" t="s">
        <v>6161</v>
      </c>
      <c r="E649" t="str">
        <f t="shared" si="52"/>
        <v>Liberica-Light-0.5</v>
      </c>
      <c r="F649" s="2">
        <v>3</v>
      </c>
      <c r="G649" s="2" t="str" cm="1">
        <f t="array" ref="G649">_xlfn.XLOOKUP(C649, customers!$A$1:A1648,customers!$B$1:B1648,,0)</f>
        <v>Ardith Chill</v>
      </c>
      <c r="H649" s="2" t="str" cm="1">
        <f t="array" ref="H649">IF(_xlfn.XLOOKUP(C649,customers!$A$1:A1648,customers!$C$1:C1648,,0) = 0,"", _xlfn.XLOOKUP(C649,customers!$A$1:A1648,customers!$C$1:C1648,,0))</f>
        <v>achillhz@epa.gov</v>
      </c>
      <c r="I649" s="2" t="str">
        <f>_xlfn.XLOOKUP(C649,customers!$A$1:$A$1001,customers!$G$1:$G$1001,,0)</f>
        <v>United Kingdom</v>
      </c>
      <c r="J649" s="2" t="str">
        <f>_xlfn.XLOOKUP(Orders[[#This Row],[Customer ID]],customers!$A$1:$A$1001,customers!$F$1:$F$1001,,0)</f>
        <v>Thorpe</v>
      </c>
      <c r="K649" t="str">
        <f>INDEX(products!$A$1:$G$49,MATCH(orders!$D649,products!$A$1:$A$49,0),MATCH(orders!K$1,products!$A$1:$G$1,0))</f>
        <v>Lib</v>
      </c>
      <c r="L649" t="str">
        <f>INDEX(products!$A$1:$G$49,MATCH(orders!$D649,products!$A$1:$A$49,0),MATCH(orders!L$1,products!$A$1:$G$1,0))</f>
        <v>L</v>
      </c>
      <c r="M649" s="14">
        <f>INDEX(products!$A$1:$G$49,MATCH(orders!$D649,products!$A$1:$A$49,0),MATCH(orders!M$1,products!$A$1:$G$1,0))</f>
        <v>0.5</v>
      </c>
      <c r="N649" s="4">
        <f>INDEX(products!$A$1:$G$49,MATCH(orders!$D649,products!$A$1:$A$49,0),MATCH(orders!N$1,products!$A$1:$G$1,0))</f>
        <v>9.51</v>
      </c>
      <c r="O649" s="13">
        <f t="shared" si="50"/>
        <v>28.53</v>
      </c>
      <c r="P649" s="13">
        <f>_xlfn.XLOOKUP(Orders[[#This Row],[Product ID]],products!$A$1:$A$49,products!$G$1:$G$49,,0)</f>
        <v>1.2363</v>
      </c>
      <c r="Q649" s="13">
        <f t="shared" si="51"/>
        <v>3.7088999999999999</v>
      </c>
      <c r="R649" t="str">
        <f t="shared" si="53"/>
        <v>Liberica</v>
      </c>
      <c r="S649" t="str">
        <f t="shared" si="54"/>
        <v>Light</v>
      </c>
      <c r="T649" t="str">
        <f>_xlfn.XLOOKUP(Orders[[#This Row],[Customer ID]],customers!$A$1:$A$1001,customers!$I$1:$I$1001,,0)</f>
        <v>Yes</v>
      </c>
    </row>
    <row r="650" spans="1:20" x14ac:dyDescent="0.35">
      <c r="A650" s="2" t="s">
        <v>4151</v>
      </c>
      <c r="B650" s="3">
        <v>43884</v>
      </c>
      <c r="C650" s="2" t="s">
        <v>4152</v>
      </c>
      <c r="D650" t="s">
        <v>6163</v>
      </c>
      <c r="E650" t="str">
        <f t="shared" si="52"/>
        <v>Robusta-Dark-0.2</v>
      </c>
      <c r="F650" s="2">
        <v>6</v>
      </c>
      <c r="G650" s="2" t="str" cm="1">
        <f t="array" ref="G650">_xlfn.XLOOKUP(C650, customers!$A$1:A1649,customers!$B$1:B1649,,0)</f>
        <v>Tuckie Mathonnet</v>
      </c>
      <c r="H650" s="2" t="str" cm="1">
        <f t="array" ref="H650">IF(_xlfn.XLOOKUP(C650,customers!$A$1:A1649,customers!$C$1:C1649,,0) = 0,"", _xlfn.XLOOKUP(C650,customers!$A$1:A1649,customers!$C$1:C1649,,0))</f>
        <v>tmathonneti0@google.co.jp</v>
      </c>
      <c r="I650" s="2" t="str">
        <f>_xlfn.XLOOKUP(C650,customers!$A$1:$A$1001,customers!$G$1:$G$1001,,0)</f>
        <v>United States</v>
      </c>
      <c r="J650" s="2" t="str">
        <f>_xlfn.XLOOKUP(Orders[[#This Row],[Customer ID]],customers!$A$1:$A$1001,customers!$F$1:$F$1001,,0)</f>
        <v>Columbus</v>
      </c>
      <c r="K650" t="str">
        <f>INDEX(products!$A$1:$G$49,MATCH(orders!$D650,products!$A$1:$A$49,0),MATCH(orders!K$1,products!$A$1:$G$1,0))</f>
        <v>Rob</v>
      </c>
      <c r="L650" t="str">
        <f>INDEX(products!$A$1:$G$49,MATCH(orders!$D650,products!$A$1:$A$49,0),MATCH(orders!L$1,products!$A$1:$G$1,0))</f>
        <v>D</v>
      </c>
      <c r="M650" s="14">
        <f>INDEX(products!$A$1:$G$49,MATCH(orders!$D650,products!$A$1:$A$49,0),MATCH(orders!M$1,products!$A$1:$G$1,0))</f>
        <v>0.2</v>
      </c>
      <c r="N650" s="4">
        <f>INDEX(products!$A$1:$G$49,MATCH(orders!$D650,products!$A$1:$A$49,0),MATCH(orders!N$1,products!$A$1:$G$1,0))</f>
        <v>2.6849999999999996</v>
      </c>
      <c r="O650" s="13">
        <f t="shared" si="50"/>
        <v>16.11</v>
      </c>
      <c r="P650" s="13">
        <f>_xlfn.XLOOKUP(Orders[[#This Row],[Product ID]],products!$A$1:$A$49,products!$G$1:$G$49,,0)</f>
        <v>0.16109999999999997</v>
      </c>
      <c r="Q650" s="13">
        <f t="shared" si="51"/>
        <v>0.96659999999999979</v>
      </c>
      <c r="R650" t="str">
        <f t="shared" si="53"/>
        <v>Robusta</v>
      </c>
      <c r="S650" t="str">
        <f t="shared" si="54"/>
        <v>Dark</v>
      </c>
      <c r="T650" t="str">
        <f>_xlfn.XLOOKUP(Orders[[#This Row],[Customer ID]],customers!$A$1:$A$1001,customers!$I$1:$I$1001,,0)</f>
        <v>No</v>
      </c>
    </row>
    <row r="651" spans="1:20" x14ac:dyDescent="0.35">
      <c r="A651" s="2" t="s">
        <v>4157</v>
      </c>
      <c r="B651" s="3">
        <v>44015</v>
      </c>
      <c r="C651" s="2" t="s">
        <v>4158</v>
      </c>
      <c r="D651" t="s">
        <v>6170</v>
      </c>
      <c r="E651" t="str">
        <f t="shared" si="52"/>
        <v>Liberica-Light-1</v>
      </c>
      <c r="F651" s="2">
        <v>6</v>
      </c>
      <c r="G651" s="2" t="str" cm="1">
        <f t="array" ref="G651">_xlfn.XLOOKUP(C651, customers!$A$1:A1650,customers!$B$1:B1650,,0)</f>
        <v>Charmane Denys</v>
      </c>
      <c r="H651" s="2" t="str" cm="1">
        <f t="array" ref="H651">IF(_xlfn.XLOOKUP(C651,customers!$A$1:A1650,customers!$C$1:C1650,,0) = 0,"", _xlfn.XLOOKUP(C651,customers!$A$1:A1650,customers!$C$1:C1650,,0))</f>
        <v>cdenysi1@is.gd</v>
      </c>
      <c r="I651" s="2" t="str">
        <f>_xlfn.XLOOKUP(C651,customers!$A$1:$A$1001,customers!$G$1:$G$1001,,0)</f>
        <v>United Kingdom</v>
      </c>
      <c r="J651" s="2" t="str">
        <f>_xlfn.XLOOKUP(Orders[[#This Row],[Customer ID]],customers!$A$1:$A$1001,customers!$F$1:$F$1001,,0)</f>
        <v>Carlton</v>
      </c>
      <c r="K651" t="str">
        <f>INDEX(products!$A$1:$G$49,MATCH(orders!$D651,products!$A$1:$A$49,0),MATCH(orders!K$1,products!$A$1:$G$1,0))</f>
        <v>Lib</v>
      </c>
      <c r="L651" t="str">
        <f>INDEX(products!$A$1:$G$49,MATCH(orders!$D651,products!$A$1:$A$49,0),MATCH(orders!L$1,products!$A$1:$G$1,0))</f>
        <v>L</v>
      </c>
      <c r="M651" s="14">
        <f>INDEX(products!$A$1:$G$49,MATCH(orders!$D651,products!$A$1:$A$49,0),MATCH(orders!M$1,products!$A$1:$G$1,0))</f>
        <v>1</v>
      </c>
      <c r="N651" s="4">
        <f>INDEX(products!$A$1:$G$49,MATCH(orders!$D651,products!$A$1:$A$49,0),MATCH(orders!N$1,products!$A$1:$G$1,0))</f>
        <v>15.85</v>
      </c>
      <c r="O651" s="13">
        <f t="shared" si="50"/>
        <v>95.1</v>
      </c>
      <c r="P651" s="13">
        <f>_xlfn.XLOOKUP(Orders[[#This Row],[Product ID]],products!$A$1:$A$49,products!$G$1:$G$49,,0)</f>
        <v>2.0605000000000002</v>
      </c>
      <c r="Q651" s="13">
        <f t="shared" si="51"/>
        <v>12.363000000000001</v>
      </c>
      <c r="R651" t="str">
        <f t="shared" si="53"/>
        <v>Liberica</v>
      </c>
      <c r="S651" t="str">
        <f t="shared" si="54"/>
        <v>Light</v>
      </c>
      <c r="T651" t="str">
        <f>_xlfn.XLOOKUP(Orders[[#This Row],[Customer ID]],customers!$A$1:$A$1001,customers!$I$1:$I$1001,,0)</f>
        <v>No</v>
      </c>
    </row>
    <row r="652" spans="1:20" x14ac:dyDescent="0.35">
      <c r="A652" s="2" t="s">
        <v>4163</v>
      </c>
      <c r="B652" s="3">
        <v>43507</v>
      </c>
      <c r="C652" s="2" t="s">
        <v>4164</v>
      </c>
      <c r="D652" t="s">
        <v>6172</v>
      </c>
      <c r="E652" t="str">
        <f t="shared" si="52"/>
        <v>Robusta-Dark-0.5</v>
      </c>
      <c r="F652" s="2">
        <v>1</v>
      </c>
      <c r="G652" s="2" t="str" cm="1">
        <f t="array" ref="G652">_xlfn.XLOOKUP(C652, customers!$A$1:A1651,customers!$B$1:B1651,,0)</f>
        <v>Cecily Stebbings</v>
      </c>
      <c r="H652" s="2" t="str" cm="1">
        <f t="array" ref="H652">IF(_xlfn.XLOOKUP(C652,customers!$A$1:A1651,customers!$C$1:C1651,,0) = 0,"", _xlfn.XLOOKUP(C652,customers!$A$1:A1651,customers!$C$1:C1651,,0))</f>
        <v>cstebbingsi2@drupal.org</v>
      </c>
      <c r="I652" s="2" t="str">
        <f>_xlfn.XLOOKUP(C652,customers!$A$1:$A$1001,customers!$G$1:$G$1001,,0)</f>
        <v>United States</v>
      </c>
      <c r="J652" s="2" t="str">
        <f>_xlfn.XLOOKUP(Orders[[#This Row],[Customer ID]],customers!$A$1:$A$1001,customers!$F$1:$F$1001,,0)</f>
        <v>Corona</v>
      </c>
      <c r="K652" t="str">
        <f>INDEX(products!$A$1:$G$49,MATCH(orders!$D652,products!$A$1:$A$49,0),MATCH(orders!K$1,products!$A$1:$G$1,0))</f>
        <v>Rob</v>
      </c>
      <c r="L652" t="str">
        <f>INDEX(products!$A$1:$G$49,MATCH(orders!$D652,products!$A$1:$A$49,0),MATCH(orders!L$1,products!$A$1:$G$1,0))</f>
        <v>D</v>
      </c>
      <c r="M652" s="14">
        <f>INDEX(products!$A$1:$G$49,MATCH(orders!$D652,products!$A$1:$A$49,0),MATCH(orders!M$1,products!$A$1:$G$1,0))</f>
        <v>0.5</v>
      </c>
      <c r="N652" s="4">
        <f>INDEX(products!$A$1:$G$49,MATCH(orders!$D652,products!$A$1:$A$49,0),MATCH(orders!N$1,products!$A$1:$G$1,0))</f>
        <v>5.3699999999999992</v>
      </c>
      <c r="O652" s="13">
        <f t="shared" si="50"/>
        <v>5.3699999999999992</v>
      </c>
      <c r="P652" s="13">
        <f>_xlfn.XLOOKUP(Orders[[#This Row],[Product ID]],products!$A$1:$A$49,products!$G$1:$G$49,,0)</f>
        <v>0.32219999999999993</v>
      </c>
      <c r="Q652" s="13">
        <f t="shared" si="51"/>
        <v>0.32219999999999993</v>
      </c>
      <c r="R652" t="str">
        <f t="shared" si="53"/>
        <v>Robusta</v>
      </c>
      <c r="S652" t="str">
        <f t="shared" si="54"/>
        <v>Dark</v>
      </c>
      <c r="T652" t="str">
        <f>_xlfn.XLOOKUP(Orders[[#This Row],[Customer ID]],customers!$A$1:$A$1001,customers!$I$1:$I$1001,,0)</f>
        <v>Yes</v>
      </c>
    </row>
    <row r="653" spans="1:20" x14ac:dyDescent="0.35">
      <c r="A653" s="2" t="s">
        <v>4169</v>
      </c>
      <c r="B653" s="3">
        <v>44084</v>
      </c>
      <c r="C653" s="2" t="s">
        <v>4170</v>
      </c>
      <c r="D653" t="s">
        <v>6179</v>
      </c>
      <c r="E653" t="str">
        <f t="shared" si="52"/>
        <v>Robusta-Light-1</v>
      </c>
      <c r="F653" s="2">
        <v>4</v>
      </c>
      <c r="G653" s="2" t="str" cm="1">
        <f t="array" ref="G653">_xlfn.XLOOKUP(C653, customers!$A$1:A1652,customers!$B$1:B1652,,0)</f>
        <v>Giana Tonnesen</v>
      </c>
      <c r="H653" s="2" t="str" cm="1">
        <f t="array" ref="H653">IF(_xlfn.XLOOKUP(C653,customers!$A$1:A1652,customers!$C$1:C1652,,0) = 0,"", _xlfn.XLOOKUP(C653,customers!$A$1:A1652,customers!$C$1:C1652,,0))</f>
        <v/>
      </c>
      <c r="I653" s="2" t="str">
        <f>_xlfn.XLOOKUP(C653,customers!$A$1:$A$1001,customers!$G$1:$G$1001,,0)</f>
        <v>United States</v>
      </c>
      <c r="J653" s="2" t="str">
        <f>_xlfn.XLOOKUP(Orders[[#This Row],[Customer ID]],customers!$A$1:$A$1001,customers!$F$1:$F$1001,,0)</f>
        <v>Washington</v>
      </c>
      <c r="K653" t="str">
        <f>INDEX(products!$A$1:$G$49,MATCH(orders!$D653,products!$A$1:$A$49,0),MATCH(orders!K$1,products!$A$1:$G$1,0))</f>
        <v>Rob</v>
      </c>
      <c r="L653" t="str">
        <f>INDEX(products!$A$1:$G$49,MATCH(orders!$D653,products!$A$1:$A$49,0),MATCH(orders!L$1,products!$A$1:$G$1,0))</f>
        <v>L</v>
      </c>
      <c r="M653" s="14">
        <f>INDEX(products!$A$1:$G$49,MATCH(orders!$D653,products!$A$1:$A$49,0),MATCH(orders!M$1,products!$A$1:$G$1,0))</f>
        <v>1</v>
      </c>
      <c r="N653" s="4">
        <f>INDEX(products!$A$1:$G$49,MATCH(orders!$D653,products!$A$1:$A$49,0),MATCH(orders!N$1,products!$A$1:$G$1,0))</f>
        <v>11.95</v>
      </c>
      <c r="O653" s="13">
        <f t="shared" si="50"/>
        <v>47.8</v>
      </c>
      <c r="P653" s="13">
        <f>_xlfn.XLOOKUP(Orders[[#This Row],[Product ID]],products!$A$1:$A$49,products!$G$1:$G$49,,0)</f>
        <v>0.71699999999999997</v>
      </c>
      <c r="Q653" s="13">
        <f t="shared" si="51"/>
        <v>2.8679999999999999</v>
      </c>
      <c r="R653" t="str">
        <f t="shared" si="53"/>
        <v>Robusta</v>
      </c>
      <c r="S653" t="str">
        <f t="shared" si="54"/>
        <v>Light</v>
      </c>
      <c r="T653" t="str">
        <f>_xlfn.XLOOKUP(Orders[[#This Row],[Customer ID]],customers!$A$1:$A$1001,customers!$I$1:$I$1001,,0)</f>
        <v>No</v>
      </c>
    </row>
    <row r="654" spans="1:20" x14ac:dyDescent="0.35">
      <c r="A654" s="2" t="s">
        <v>4174</v>
      </c>
      <c r="B654" s="3">
        <v>43892</v>
      </c>
      <c r="C654" s="2" t="s">
        <v>4175</v>
      </c>
      <c r="D654" t="s">
        <v>6170</v>
      </c>
      <c r="E654" t="str">
        <f t="shared" si="52"/>
        <v>Liberica-Light-1</v>
      </c>
      <c r="F654" s="2">
        <v>4</v>
      </c>
      <c r="G654" s="2" t="str" cm="1">
        <f t="array" ref="G654">_xlfn.XLOOKUP(C654, customers!$A$1:A1653,customers!$B$1:B1653,,0)</f>
        <v>Rhetta Zywicki</v>
      </c>
      <c r="H654" s="2" t="str" cm="1">
        <f t="array" ref="H654">IF(_xlfn.XLOOKUP(C654,customers!$A$1:A1653,customers!$C$1:C1653,,0) = 0,"", _xlfn.XLOOKUP(C654,customers!$A$1:A1653,customers!$C$1:C1653,,0))</f>
        <v>rzywickii4@ifeng.com</v>
      </c>
      <c r="I654" s="2" t="str">
        <f>_xlfn.XLOOKUP(C654,customers!$A$1:$A$1001,customers!$G$1:$G$1001,,0)</f>
        <v>Ireland</v>
      </c>
      <c r="J654" s="2" t="str">
        <f>_xlfn.XLOOKUP(Orders[[#This Row],[Customer ID]],customers!$A$1:$A$1001,customers!$F$1:$F$1001,,0)</f>
        <v>Ballinteer</v>
      </c>
      <c r="K654" t="str">
        <f>INDEX(products!$A$1:$G$49,MATCH(orders!$D654,products!$A$1:$A$49,0),MATCH(orders!K$1,products!$A$1:$G$1,0))</f>
        <v>Lib</v>
      </c>
      <c r="L654" t="str">
        <f>INDEX(products!$A$1:$G$49,MATCH(orders!$D654,products!$A$1:$A$49,0),MATCH(orders!L$1,products!$A$1:$G$1,0))</f>
        <v>L</v>
      </c>
      <c r="M654" s="14">
        <f>INDEX(products!$A$1:$G$49,MATCH(orders!$D654,products!$A$1:$A$49,0),MATCH(orders!M$1,products!$A$1:$G$1,0))</f>
        <v>1</v>
      </c>
      <c r="N654" s="4">
        <f>INDEX(products!$A$1:$G$49,MATCH(orders!$D654,products!$A$1:$A$49,0),MATCH(orders!N$1,products!$A$1:$G$1,0))</f>
        <v>15.85</v>
      </c>
      <c r="O654" s="13">
        <f t="shared" si="50"/>
        <v>63.4</v>
      </c>
      <c r="P654" s="13">
        <f>_xlfn.XLOOKUP(Orders[[#This Row],[Product ID]],products!$A$1:$A$49,products!$G$1:$G$49,,0)</f>
        <v>2.0605000000000002</v>
      </c>
      <c r="Q654" s="13">
        <f t="shared" si="51"/>
        <v>8.2420000000000009</v>
      </c>
      <c r="R654" t="str">
        <f t="shared" si="53"/>
        <v>Liberica</v>
      </c>
      <c r="S654" t="str">
        <f t="shared" si="54"/>
        <v>Light</v>
      </c>
      <c r="T654" t="str">
        <f>_xlfn.XLOOKUP(Orders[[#This Row],[Customer ID]],customers!$A$1:$A$1001,customers!$I$1:$I$1001,,0)</f>
        <v>No</v>
      </c>
    </row>
    <row r="655" spans="1:20" x14ac:dyDescent="0.35">
      <c r="A655" s="2" t="s">
        <v>4179</v>
      </c>
      <c r="B655" s="3">
        <v>44375</v>
      </c>
      <c r="C655" s="2" t="s">
        <v>4180</v>
      </c>
      <c r="D655" t="s">
        <v>6175</v>
      </c>
      <c r="E655" t="str">
        <f t="shared" si="52"/>
        <v>Arabica-Medium-2.5</v>
      </c>
      <c r="F655" s="2">
        <v>4</v>
      </c>
      <c r="G655" s="2" t="str" cm="1">
        <f t="array" ref="G655">_xlfn.XLOOKUP(C655, customers!$A$1:A1654,customers!$B$1:B1654,,0)</f>
        <v>Almeria Burgett</v>
      </c>
      <c r="H655" s="2" t="str" cm="1">
        <f t="array" ref="H655">IF(_xlfn.XLOOKUP(C655,customers!$A$1:A1654,customers!$C$1:C1654,,0) = 0,"", _xlfn.XLOOKUP(C655,customers!$A$1:A1654,customers!$C$1:C1654,,0))</f>
        <v>aburgetti5@moonfruit.com</v>
      </c>
      <c r="I655" s="2" t="str">
        <f>_xlfn.XLOOKUP(C655,customers!$A$1:$A$1001,customers!$G$1:$G$1001,,0)</f>
        <v>United States</v>
      </c>
      <c r="J655" s="2" t="str">
        <f>_xlfn.XLOOKUP(Orders[[#This Row],[Customer ID]],customers!$A$1:$A$1001,customers!$F$1:$F$1001,,0)</f>
        <v>Toledo</v>
      </c>
      <c r="K655" t="str">
        <f>INDEX(products!$A$1:$G$49,MATCH(orders!$D655,products!$A$1:$A$49,0),MATCH(orders!K$1,products!$A$1:$G$1,0))</f>
        <v>Ara</v>
      </c>
      <c r="L655" t="str">
        <f>INDEX(products!$A$1:$G$49,MATCH(orders!$D655,products!$A$1:$A$49,0),MATCH(orders!L$1,products!$A$1:$G$1,0))</f>
        <v>M</v>
      </c>
      <c r="M655" s="14">
        <f>INDEX(products!$A$1:$G$49,MATCH(orders!$D655,products!$A$1:$A$49,0),MATCH(orders!M$1,products!$A$1:$G$1,0))</f>
        <v>2.5</v>
      </c>
      <c r="N655" s="4">
        <f>INDEX(products!$A$1:$G$49,MATCH(orders!$D655,products!$A$1:$A$49,0),MATCH(orders!N$1,products!$A$1:$G$1,0))</f>
        <v>25.874999999999996</v>
      </c>
      <c r="O655" s="13">
        <f t="shared" si="50"/>
        <v>103.49999999999999</v>
      </c>
      <c r="P655" s="13">
        <f>_xlfn.XLOOKUP(Orders[[#This Row],[Product ID]],products!$A$1:$A$49,products!$G$1:$G$49,,0)</f>
        <v>2.3287499999999994</v>
      </c>
      <c r="Q655" s="13">
        <f t="shared" si="51"/>
        <v>9.3149999999999977</v>
      </c>
      <c r="R655" t="str">
        <f t="shared" si="53"/>
        <v>Arabica</v>
      </c>
      <c r="S655" t="str">
        <f t="shared" si="54"/>
        <v>Medium</v>
      </c>
      <c r="T655" t="str">
        <f>_xlfn.XLOOKUP(Orders[[#This Row],[Customer ID]],customers!$A$1:$A$1001,customers!$I$1:$I$1001,,0)</f>
        <v>No</v>
      </c>
    </row>
    <row r="656" spans="1:20" x14ac:dyDescent="0.35">
      <c r="A656" s="2" t="s">
        <v>4185</v>
      </c>
      <c r="B656" s="3">
        <v>43476</v>
      </c>
      <c r="C656" s="2" t="s">
        <v>4186</v>
      </c>
      <c r="D656" t="s">
        <v>6168</v>
      </c>
      <c r="E656" t="str">
        <f t="shared" si="52"/>
        <v>Arabica-Dark-2.5</v>
      </c>
      <c r="F656" s="2">
        <v>3</v>
      </c>
      <c r="G656" s="2" t="str" cm="1">
        <f t="array" ref="G656">_xlfn.XLOOKUP(C656, customers!$A$1:A1655,customers!$B$1:B1655,,0)</f>
        <v>Marvin Malloy</v>
      </c>
      <c r="H656" s="2" t="str" cm="1">
        <f t="array" ref="H656">IF(_xlfn.XLOOKUP(C656,customers!$A$1:A1655,customers!$C$1:C1655,,0) = 0,"", _xlfn.XLOOKUP(C656,customers!$A$1:A1655,customers!$C$1:C1655,,0))</f>
        <v>mmalloyi6@seattletimes.com</v>
      </c>
      <c r="I656" s="2" t="str">
        <f>_xlfn.XLOOKUP(C656,customers!$A$1:$A$1001,customers!$G$1:$G$1001,,0)</f>
        <v>United States</v>
      </c>
      <c r="J656" s="2" t="str">
        <f>_xlfn.XLOOKUP(Orders[[#This Row],[Customer ID]],customers!$A$1:$A$1001,customers!$F$1:$F$1001,,0)</f>
        <v>Washington</v>
      </c>
      <c r="K656" t="str">
        <f>INDEX(products!$A$1:$G$49,MATCH(orders!$D656,products!$A$1:$A$49,0),MATCH(orders!K$1,products!$A$1:$G$1,0))</f>
        <v>Ara</v>
      </c>
      <c r="L656" t="str">
        <f>INDEX(products!$A$1:$G$49,MATCH(orders!$D656,products!$A$1:$A$49,0),MATCH(orders!L$1,products!$A$1:$G$1,0))</f>
        <v>D</v>
      </c>
      <c r="M656" s="14">
        <f>INDEX(products!$A$1:$G$49,MATCH(orders!$D656,products!$A$1:$A$49,0),MATCH(orders!M$1,products!$A$1:$G$1,0))</f>
        <v>2.5</v>
      </c>
      <c r="N656" s="4">
        <f>INDEX(products!$A$1:$G$49,MATCH(orders!$D656,products!$A$1:$A$49,0),MATCH(orders!N$1,products!$A$1:$G$1,0))</f>
        <v>22.884999999999998</v>
      </c>
      <c r="O656" s="13">
        <f t="shared" si="50"/>
        <v>68.655000000000001</v>
      </c>
      <c r="P656" s="13">
        <f>_xlfn.XLOOKUP(Orders[[#This Row],[Product ID]],products!$A$1:$A$49,products!$G$1:$G$49,,0)</f>
        <v>2.0596499999999995</v>
      </c>
      <c r="Q656" s="13">
        <f t="shared" si="51"/>
        <v>6.1789499999999986</v>
      </c>
      <c r="R656" t="str">
        <f t="shared" si="53"/>
        <v>Arabica</v>
      </c>
      <c r="S656" t="str">
        <f t="shared" si="54"/>
        <v>Dark</v>
      </c>
      <c r="T656" t="str">
        <f>_xlfn.XLOOKUP(Orders[[#This Row],[Customer ID]],customers!$A$1:$A$1001,customers!$I$1:$I$1001,,0)</f>
        <v>No</v>
      </c>
    </row>
    <row r="657" spans="1:20" x14ac:dyDescent="0.35">
      <c r="A657" s="2" t="s">
        <v>4191</v>
      </c>
      <c r="B657" s="3">
        <v>43728</v>
      </c>
      <c r="C657" s="2" t="s">
        <v>4192</v>
      </c>
      <c r="D657" t="s">
        <v>6151</v>
      </c>
      <c r="E657" t="str">
        <f t="shared" si="52"/>
        <v>Robusta-Medium-2.5</v>
      </c>
      <c r="F657" s="2">
        <v>2</v>
      </c>
      <c r="G657" s="2" t="str" cm="1">
        <f t="array" ref="G657">_xlfn.XLOOKUP(C657, customers!$A$1:A1656,customers!$B$1:B1656,,0)</f>
        <v>Maxim McParland</v>
      </c>
      <c r="H657" s="2" t="str" cm="1">
        <f t="array" ref="H657">IF(_xlfn.XLOOKUP(C657,customers!$A$1:A1656,customers!$C$1:C1656,,0) = 0,"", _xlfn.XLOOKUP(C657,customers!$A$1:A1656,customers!$C$1:C1656,,0))</f>
        <v>mmcparlandi7@w3.org</v>
      </c>
      <c r="I657" s="2" t="str">
        <f>_xlfn.XLOOKUP(C657,customers!$A$1:$A$1001,customers!$G$1:$G$1001,,0)</f>
        <v>United States</v>
      </c>
      <c r="J657" s="2" t="str">
        <f>_xlfn.XLOOKUP(Orders[[#This Row],[Customer ID]],customers!$A$1:$A$1001,customers!$F$1:$F$1001,,0)</f>
        <v>Cedar Rapids</v>
      </c>
      <c r="K657" t="str">
        <f>INDEX(products!$A$1:$G$49,MATCH(orders!$D657,products!$A$1:$A$49,0),MATCH(orders!K$1,products!$A$1:$G$1,0))</f>
        <v>Rob</v>
      </c>
      <c r="L657" t="str">
        <f>INDEX(products!$A$1:$G$49,MATCH(orders!$D657,products!$A$1:$A$49,0),MATCH(orders!L$1,products!$A$1:$G$1,0))</f>
        <v>M</v>
      </c>
      <c r="M657" s="14">
        <f>INDEX(products!$A$1:$G$49,MATCH(orders!$D657,products!$A$1:$A$49,0),MATCH(orders!M$1,products!$A$1:$G$1,0))</f>
        <v>2.5</v>
      </c>
      <c r="N657" s="4">
        <f>INDEX(products!$A$1:$G$49,MATCH(orders!$D657,products!$A$1:$A$49,0),MATCH(orders!N$1,products!$A$1:$G$1,0))</f>
        <v>22.884999999999998</v>
      </c>
      <c r="O657" s="13">
        <f t="shared" si="50"/>
        <v>45.769999999999996</v>
      </c>
      <c r="P657" s="13">
        <f>_xlfn.XLOOKUP(Orders[[#This Row],[Product ID]],products!$A$1:$A$49,products!$G$1:$G$49,,0)</f>
        <v>1.3730999999999998</v>
      </c>
      <c r="Q657" s="13">
        <f t="shared" si="51"/>
        <v>2.7461999999999995</v>
      </c>
      <c r="R657" t="str">
        <f t="shared" si="53"/>
        <v>Robusta</v>
      </c>
      <c r="S657" t="str">
        <f t="shared" si="54"/>
        <v>Medium</v>
      </c>
      <c r="T657" t="str">
        <f>_xlfn.XLOOKUP(Orders[[#This Row],[Customer ID]],customers!$A$1:$A$1001,customers!$I$1:$I$1001,,0)</f>
        <v>Yes</v>
      </c>
    </row>
    <row r="658" spans="1:20" x14ac:dyDescent="0.35">
      <c r="A658" s="2" t="s">
        <v>4196</v>
      </c>
      <c r="B658" s="3">
        <v>44485</v>
      </c>
      <c r="C658" s="2" t="s">
        <v>4197</v>
      </c>
      <c r="D658" t="s">
        <v>6143</v>
      </c>
      <c r="E658" t="str">
        <f t="shared" si="52"/>
        <v>Liberica-Dark-1</v>
      </c>
      <c r="F658" s="2">
        <v>4</v>
      </c>
      <c r="G658" s="2" t="str" cm="1">
        <f t="array" ref="G658">_xlfn.XLOOKUP(C658, customers!$A$1:A1657,customers!$B$1:B1657,,0)</f>
        <v>Sylas Jennaroy</v>
      </c>
      <c r="H658" s="2" t="str" cm="1">
        <f t="array" ref="H658">IF(_xlfn.XLOOKUP(C658,customers!$A$1:A1657,customers!$C$1:C1657,,0) = 0,"", _xlfn.XLOOKUP(C658,customers!$A$1:A1657,customers!$C$1:C1657,,0))</f>
        <v>sjennaroyi8@purevolume.com</v>
      </c>
      <c r="I658" s="2" t="str">
        <f>_xlfn.XLOOKUP(C658,customers!$A$1:$A$1001,customers!$G$1:$G$1001,,0)</f>
        <v>United States</v>
      </c>
      <c r="J658" s="2" t="str">
        <f>_xlfn.XLOOKUP(Orders[[#This Row],[Customer ID]],customers!$A$1:$A$1001,customers!$F$1:$F$1001,,0)</f>
        <v>Aurora</v>
      </c>
      <c r="K658" t="str">
        <f>INDEX(products!$A$1:$G$49,MATCH(orders!$D658,products!$A$1:$A$49,0),MATCH(orders!K$1,products!$A$1:$G$1,0))</f>
        <v>Lib</v>
      </c>
      <c r="L658" t="str">
        <f>INDEX(products!$A$1:$G$49,MATCH(orders!$D658,products!$A$1:$A$49,0),MATCH(orders!L$1,products!$A$1:$G$1,0))</f>
        <v>D</v>
      </c>
      <c r="M658" s="14">
        <f>INDEX(products!$A$1:$G$49,MATCH(orders!$D658,products!$A$1:$A$49,0),MATCH(orders!M$1,products!$A$1:$G$1,0))</f>
        <v>1</v>
      </c>
      <c r="N658" s="4">
        <f>INDEX(products!$A$1:$G$49,MATCH(orders!$D658,products!$A$1:$A$49,0),MATCH(orders!N$1,products!$A$1:$G$1,0))</f>
        <v>12.95</v>
      </c>
      <c r="O658" s="13">
        <f t="shared" si="50"/>
        <v>51.8</v>
      </c>
      <c r="P658" s="13">
        <f>_xlfn.XLOOKUP(Orders[[#This Row],[Product ID]],products!$A$1:$A$49,products!$G$1:$G$49,,0)</f>
        <v>1.6835</v>
      </c>
      <c r="Q658" s="13">
        <f t="shared" si="51"/>
        <v>6.734</v>
      </c>
      <c r="R658" t="str">
        <f t="shared" si="53"/>
        <v>Liberica</v>
      </c>
      <c r="S658" t="str">
        <f t="shared" si="54"/>
        <v>Dark</v>
      </c>
      <c r="T658" t="str">
        <f>_xlfn.XLOOKUP(Orders[[#This Row],[Customer ID]],customers!$A$1:$A$1001,customers!$I$1:$I$1001,,0)</f>
        <v>No</v>
      </c>
    </row>
    <row r="659" spans="1:20" x14ac:dyDescent="0.35">
      <c r="A659" s="2" t="s">
        <v>4201</v>
      </c>
      <c r="B659" s="3">
        <v>43831</v>
      </c>
      <c r="C659" s="2" t="s">
        <v>4202</v>
      </c>
      <c r="D659" t="s">
        <v>6157</v>
      </c>
      <c r="E659" t="str">
        <f t="shared" si="52"/>
        <v>Arabica-Medium-0.5</v>
      </c>
      <c r="F659" s="2">
        <v>2</v>
      </c>
      <c r="G659" s="2" t="str" cm="1">
        <f t="array" ref="G659">_xlfn.XLOOKUP(C659, customers!$A$1:A1658,customers!$B$1:B1658,,0)</f>
        <v>Wren Place</v>
      </c>
      <c r="H659" s="2" t="str" cm="1">
        <f t="array" ref="H659">IF(_xlfn.XLOOKUP(C659,customers!$A$1:A1658,customers!$C$1:C1658,,0) = 0,"", _xlfn.XLOOKUP(C659,customers!$A$1:A1658,customers!$C$1:C1658,,0))</f>
        <v>wplacei9@wsj.com</v>
      </c>
      <c r="I659" s="2" t="str">
        <f>_xlfn.XLOOKUP(C659,customers!$A$1:$A$1001,customers!$G$1:$G$1001,,0)</f>
        <v>United States</v>
      </c>
      <c r="J659" s="2" t="str">
        <f>_xlfn.XLOOKUP(Orders[[#This Row],[Customer ID]],customers!$A$1:$A$1001,customers!$F$1:$F$1001,,0)</f>
        <v>Sunnyvale</v>
      </c>
      <c r="K659" t="str">
        <f>INDEX(products!$A$1:$G$49,MATCH(orders!$D659,products!$A$1:$A$49,0),MATCH(orders!K$1,products!$A$1:$G$1,0))</f>
        <v>Ara</v>
      </c>
      <c r="L659" t="str">
        <f>INDEX(products!$A$1:$G$49,MATCH(orders!$D659,products!$A$1:$A$49,0),MATCH(orders!L$1,products!$A$1:$G$1,0))</f>
        <v>M</v>
      </c>
      <c r="M659" s="14">
        <f>INDEX(products!$A$1:$G$49,MATCH(orders!$D659,products!$A$1:$A$49,0),MATCH(orders!M$1,products!$A$1:$G$1,0))</f>
        <v>0.5</v>
      </c>
      <c r="N659" s="4">
        <f>INDEX(products!$A$1:$G$49,MATCH(orders!$D659,products!$A$1:$A$49,0),MATCH(orders!N$1,products!$A$1:$G$1,0))</f>
        <v>6.75</v>
      </c>
      <c r="O659" s="13">
        <f t="shared" si="50"/>
        <v>13.5</v>
      </c>
      <c r="P659" s="13">
        <f>_xlfn.XLOOKUP(Orders[[#This Row],[Product ID]],products!$A$1:$A$49,products!$G$1:$G$49,,0)</f>
        <v>0.60749999999999993</v>
      </c>
      <c r="Q659" s="13">
        <f t="shared" si="51"/>
        <v>1.2149999999999999</v>
      </c>
      <c r="R659" t="str">
        <f t="shared" si="53"/>
        <v>Arabica</v>
      </c>
      <c r="S659" t="str">
        <f t="shared" si="54"/>
        <v>Medium</v>
      </c>
      <c r="T659" t="str">
        <f>_xlfn.XLOOKUP(Orders[[#This Row],[Customer ID]],customers!$A$1:$A$1001,customers!$I$1:$I$1001,,0)</f>
        <v>Yes</v>
      </c>
    </row>
    <row r="660" spans="1:20" x14ac:dyDescent="0.35">
      <c r="A660" s="2" t="s">
        <v>4207</v>
      </c>
      <c r="B660" s="3">
        <v>44630</v>
      </c>
      <c r="C660" s="2" t="s">
        <v>4263</v>
      </c>
      <c r="D660" t="s">
        <v>6139</v>
      </c>
      <c r="E660" t="str">
        <f t="shared" si="52"/>
        <v>Excelsa-Medium-0.5</v>
      </c>
      <c r="F660" s="2">
        <v>3</v>
      </c>
      <c r="G660" s="2" t="str" cm="1">
        <f t="array" ref="G660">_xlfn.XLOOKUP(C660, customers!$A$1:A1659,customers!$B$1:B1659,,0)</f>
        <v>Janella Millett</v>
      </c>
      <c r="H660" s="2" t="str" cm="1">
        <f t="array" ref="H660">IF(_xlfn.XLOOKUP(C660,customers!$A$1:A1659,customers!$C$1:C1659,,0) = 0,"", _xlfn.XLOOKUP(C660,customers!$A$1:A1659,customers!$C$1:C1659,,0))</f>
        <v>jmillettik@addtoany.com</v>
      </c>
      <c r="I660" s="2" t="str">
        <f>_xlfn.XLOOKUP(C660,customers!$A$1:$A$1001,customers!$G$1:$G$1001,,0)</f>
        <v>United States</v>
      </c>
      <c r="J660" s="2" t="str">
        <f>_xlfn.XLOOKUP(Orders[[#This Row],[Customer ID]],customers!$A$1:$A$1001,customers!$F$1:$F$1001,,0)</f>
        <v>Durham</v>
      </c>
      <c r="K660" t="str">
        <f>INDEX(products!$A$1:$G$49,MATCH(orders!$D660,products!$A$1:$A$49,0),MATCH(orders!K$1,products!$A$1:$G$1,0))</f>
        <v>Exc</v>
      </c>
      <c r="L660" t="str">
        <f>INDEX(products!$A$1:$G$49,MATCH(orders!$D660,products!$A$1:$A$49,0),MATCH(orders!L$1,products!$A$1:$G$1,0))</f>
        <v>M</v>
      </c>
      <c r="M660" s="14">
        <f>INDEX(products!$A$1:$G$49,MATCH(orders!$D660,products!$A$1:$A$49,0),MATCH(orders!M$1,products!$A$1:$G$1,0))</f>
        <v>0.5</v>
      </c>
      <c r="N660" s="4">
        <f>INDEX(products!$A$1:$G$49,MATCH(orders!$D660,products!$A$1:$A$49,0),MATCH(orders!N$1,products!$A$1:$G$1,0))</f>
        <v>8.25</v>
      </c>
      <c r="O660" s="13">
        <f t="shared" si="50"/>
        <v>24.75</v>
      </c>
      <c r="P660" s="13">
        <f>_xlfn.XLOOKUP(Orders[[#This Row],[Product ID]],products!$A$1:$A$49,products!$G$1:$G$49,,0)</f>
        <v>0.90749999999999997</v>
      </c>
      <c r="Q660" s="13">
        <f t="shared" si="51"/>
        <v>2.7225000000000001</v>
      </c>
      <c r="R660" t="str">
        <f t="shared" si="53"/>
        <v>Execelsa</v>
      </c>
      <c r="S660" t="str">
        <f t="shared" si="54"/>
        <v>Medium</v>
      </c>
      <c r="T660" t="str">
        <f>_xlfn.XLOOKUP(Orders[[#This Row],[Customer ID]],customers!$A$1:$A$1001,customers!$I$1:$I$1001,,0)</f>
        <v>Yes</v>
      </c>
    </row>
    <row r="661" spans="1:20" x14ac:dyDescent="0.35">
      <c r="A661" s="2" t="s">
        <v>4211</v>
      </c>
      <c r="B661" s="3">
        <v>44693</v>
      </c>
      <c r="C661" s="2" t="s">
        <v>4212</v>
      </c>
      <c r="D661" t="s">
        <v>6168</v>
      </c>
      <c r="E661" t="str">
        <f t="shared" si="52"/>
        <v>Arabica-Dark-2.5</v>
      </c>
      <c r="F661" s="2">
        <v>2</v>
      </c>
      <c r="G661" s="2" t="str" cm="1">
        <f t="array" ref="G661">_xlfn.XLOOKUP(C661, customers!$A$1:A1660,customers!$B$1:B1660,,0)</f>
        <v>Dollie Gadsden</v>
      </c>
      <c r="H661" s="2" t="str" cm="1">
        <f t="array" ref="H661">IF(_xlfn.XLOOKUP(C661,customers!$A$1:A1660,customers!$C$1:C1660,,0) = 0,"", _xlfn.XLOOKUP(C661,customers!$A$1:A1660,customers!$C$1:C1660,,0))</f>
        <v>dgadsdenib@google.com.hk</v>
      </c>
      <c r="I661" s="2" t="str">
        <f>_xlfn.XLOOKUP(C661,customers!$A$1:$A$1001,customers!$G$1:$G$1001,,0)</f>
        <v>Ireland</v>
      </c>
      <c r="J661" s="2" t="str">
        <f>_xlfn.XLOOKUP(Orders[[#This Row],[Customer ID]],customers!$A$1:$A$1001,customers!$F$1:$F$1001,,0)</f>
        <v>Cluain Meala</v>
      </c>
      <c r="K661" t="str">
        <f>INDEX(products!$A$1:$G$49,MATCH(orders!$D661,products!$A$1:$A$49,0),MATCH(orders!K$1,products!$A$1:$G$1,0))</f>
        <v>Ara</v>
      </c>
      <c r="L661" t="str">
        <f>INDEX(products!$A$1:$G$49,MATCH(orders!$D661,products!$A$1:$A$49,0),MATCH(orders!L$1,products!$A$1:$G$1,0))</f>
        <v>D</v>
      </c>
      <c r="M661" s="14">
        <f>INDEX(products!$A$1:$G$49,MATCH(orders!$D661,products!$A$1:$A$49,0),MATCH(orders!M$1,products!$A$1:$G$1,0))</f>
        <v>2.5</v>
      </c>
      <c r="N661" s="4">
        <f>INDEX(products!$A$1:$G$49,MATCH(orders!$D661,products!$A$1:$A$49,0),MATCH(orders!N$1,products!$A$1:$G$1,0))</f>
        <v>22.884999999999998</v>
      </c>
      <c r="O661" s="13">
        <f t="shared" si="50"/>
        <v>45.769999999999996</v>
      </c>
      <c r="P661" s="13">
        <f>_xlfn.XLOOKUP(Orders[[#This Row],[Product ID]],products!$A$1:$A$49,products!$G$1:$G$49,,0)</f>
        <v>2.0596499999999995</v>
      </c>
      <c r="Q661" s="13">
        <f t="shared" si="51"/>
        <v>4.1192999999999991</v>
      </c>
      <c r="R661" t="str">
        <f t="shared" si="53"/>
        <v>Arabica</v>
      </c>
      <c r="S661" t="str">
        <f t="shared" si="54"/>
        <v>Dark</v>
      </c>
      <c r="T661" t="str">
        <f>_xlfn.XLOOKUP(Orders[[#This Row],[Customer ID]],customers!$A$1:$A$1001,customers!$I$1:$I$1001,,0)</f>
        <v>Yes</v>
      </c>
    </row>
    <row r="662" spans="1:20" x14ac:dyDescent="0.35">
      <c r="A662" s="2" t="s">
        <v>4217</v>
      </c>
      <c r="B662" s="3">
        <v>44084</v>
      </c>
      <c r="C662" s="2" t="s">
        <v>4218</v>
      </c>
      <c r="D662" t="s">
        <v>6176</v>
      </c>
      <c r="E662" t="str">
        <f t="shared" si="52"/>
        <v>Excelsa-Light-0.5</v>
      </c>
      <c r="F662" s="2">
        <v>6</v>
      </c>
      <c r="G662" s="2" t="str" cm="1">
        <f t="array" ref="G662">_xlfn.XLOOKUP(C662, customers!$A$1:A1661,customers!$B$1:B1661,,0)</f>
        <v>Val Wakelin</v>
      </c>
      <c r="H662" s="2" t="str" cm="1">
        <f t="array" ref="H662">IF(_xlfn.XLOOKUP(C662,customers!$A$1:A1661,customers!$C$1:C1661,,0) = 0,"", _xlfn.XLOOKUP(C662,customers!$A$1:A1661,customers!$C$1:C1661,,0))</f>
        <v>vwakelinic@unesco.org</v>
      </c>
      <c r="I662" s="2" t="str">
        <f>_xlfn.XLOOKUP(C662,customers!$A$1:$A$1001,customers!$G$1:$G$1001,,0)</f>
        <v>United States</v>
      </c>
      <c r="J662" s="2" t="str">
        <f>_xlfn.XLOOKUP(Orders[[#This Row],[Customer ID]],customers!$A$1:$A$1001,customers!$F$1:$F$1001,,0)</f>
        <v>Lansing</v>
      </c>
      <c r="K662" t="str">
        <f>INDEX(products!$A$1:$G$49,MATCH(orders!$D662,products!$A$1:$A$49,0),MATCH(orders!K$1,products!$A$1:$G$1,0))</f>
        <v>Exc</v>
      </c>
      <c r="L662" t="str">
        <f>INDEX(products!$A$1:$G$49,MATCH(orders!$D662,products!$A$1:$A$49,0),MATCH(orders!L$1,products!$A$1:$G$1,0))</f>
        <v>L</v>
      </c>
      <c r="M662" s="14">
        <f>INDEX(products!$A$1:$G$49,MATCH(orders!$D662,products!$A$1:$A$49,0),MATCH(orders!M$1,products!$A$1:$G$1,0))</f>
        <v>0.5</v>
      </c>
      <c r="N662" s="4">
        <f>INDEX(products!$A$1:$G$49,MATCH(orders!$D662,products!$A$1:$A$49,0),MATCH(orders!N$1,products!$A$1:$G$1,0))</f>
        <v>8.91</v>
      </c>
      <c r="O662" s="13">
        <f t="shared" si="50"/>
        <v>53.46</v>
      </c>
      <c r="P662" s="13">
        <f>_xlfn.XLOOKUP(Orders[[#This Row],[Product ID]],products!$A$1:$A$49,products!$G$1:$G$49,,0)</f>
        <v>0.98009999999999997</v>
      </c>
      <c r="Q662" s="13">
        <f t="shared" si="51"/>
        <v>5.8805999999999994</v>
      </c>
      <c r="R662" t="str">
        <f t="shared" si="53"/>
        <v>Execelsa</v>
      </c>
      <c r="S662" t="str">
        <f t="shared" si="54"/>
        <v>Light</v>
      </c>
      <c r="T662" t="str">
        <f>_xlfn.XLOOKUP(Orders[[#This Row],[Customer ID]],customers!$A$1:$A$1001,customers!$I$1:$I$1001,,0)</f>
        <v>No</v>
      </c>
    </row>
    <row r="663" spans="1:20" x14ac:dyDescent="0.35">
      <c r="A663" s="2" t="s">
        <v>4223</v>
      </c>
      <c r="B663" s="3">
        <v>44485</v>
      </c>
      <c r="C663" s="2" t="s">
        <v>4224</v>
      </c>
      <c r="D663" t="s">
        <v>6152</v>
      </c>
      <c r="E663" t="str">
        <f t="shared" si="52"/>
        <v>Arabica-Medium-0.2</v>
      </c>
      <c r="F663" s="2">
        <v>6</v>
      </c>
      <c r="G663" s="2" t="str" cm="1">
        <f t="array" ref="G663">_xlfn.XLOOKUP(C663, customers!$A$1:A1662,customers!$B$1:B1662,,0)</f>
        <v>Annie Campsall</v>
      </c>
      <c r="H663" s="2" t="str" cm="1">
        <f t="array" ref="H663">IF(_xlfn.XLOOKUP(C663,customers!$A$1:A1662,customers!$C$1:C1662,,0) = 0,"", _xlfn.XLOOKUP(C663,customers!$A$1:A1662,customers!$C$1:C1662,,0))</f>
        <v>acampsallid@zimbio.com</v>
      </c>
      <c r="I663" s="2" t="str">
        <f>_xlfn.XLOOKUP(C663,customers!$A$1:$A$1001,customers!$G$1:$G$1001,,0)</f>
        <v>United States</v>
      </c>
      <c r="J663" s="2" t="str">
        <f>_xlfn.XLOOKUP(Orders[[#This Row],[Customer ID]],customers!$A$1:$A$1001,customers!$F$1:$F$1001,,0)</f>
        <v>Houston</v>
      </c>
      <c r="K663" t="str">
        <f>INDEX(products!$A$1:$G$49,MATCH(orders!$D663,products!$A$1:$A$49,0),MATCH(orders!K$1,products!$A$1:$G$1,0))</f>
        <v>Ara</v>
      </c>
      <c r="L663" t="str">
        <f>INDEX(products!$A$1:$G$49,MATCH(orders!$D663,products!$A$1:$A$49,0),MATCH(orders!L$1,products!$A$1:$G$1,0))</f>
        <v>M</v>
      </c>
      <c r="M663" s="14">
        <f>INDEX(products!$A$1:$G$49,MATCH(orders!$D663,products!$A$1:$A$49,0),MATCH(orders!M$1,products!$A$1:$G$1,0))</f>
        <v>0.2</v>
      </c>
      <c r="N663" s="4">
        <f>INDEX(products!$A$1:$G$49,MATCH(orders!$D663,products!$A$1:$A$49,0),MATCH(orders!N$1,products!$A$1:$G$1,0))</f>
        <v>3.375</v>
      </c>
      <c r="O663" s="13">
        <f t="shared" si="50"/>
        <v>20.25</v>
      </c>
      <c r="P663" s="13">
        <f>_xlfn.XLOOKUP(Orders[[#This Row],[Product ID]],products!$A$1:$A$49,products!$G$1:$G$49,,0)</f>
        <v>0.30374999999999996</v>
      </c>
      <c r="Q663" s="13">
        <f t="shared" si="51"/>
        <v>1.8224999999999998</v>
      </c>
      <c r="R663" t="str">
        <f t="shared" si="53"/>
        <v>Arabica</v>
      </c>
      <c r="S663" t="str">
        <f t="shared" si="54"/>
        <v>Medium</v>
      </c>
      <c r="T663" t="str">
        <f>_xlfn.XLOOKUP(Orders[[#This Row],[Customer ID]],customers!$A$1:$A$1001,customers!$I$1:$I$1001,,0)</f>
        <v>Yes</v>
      </c>
    </row>
    <row r="664" spans="1:20" x14ac:dyDescent="0.35">
      <c r="A664" s="2" t="s">
        <v>4229</v>
      </c>
      <c r="B664" s="3">
        <v>44364</v>
      </c>
      <c r="C664" s="2" t="s">
        <v>4230</v>
      </c>
      <c r="D664" t="s">
        <v>6165</v>
      </c>
      <c r="E664" t="str">
        <f t="shared" si="52"/>
        <v>Liberica-Dark-2.5</v>
      </c>
      <c r="F664" s="2">
        <v>5</v>
      </c>
      <c r="G664" s="2" t="str" cm="1">
        <f t="array" ref="G664">_xlfn.XLOOKUP(C664, customers!$A$1:A1663,customers!$B$1:B1663,,0)</f>
        <v>Shermy Moseby</v>
      </c>
      <c r="H664" s="2" t="str" cm="1">
        <f t="array" ref="H664">IF(_xlfn.XLOOKUP(C664,customers!$A$1:A1663,customers!$C$1:C1663,,0) = 0,"", _xlfn.XLOOKUP(C664,customers!$A$1:A1663,customers!$C$1:C1663,,0))</f>
        <v>smosebyie@stanford.edu</v>
      </c>
      <c r="I664" s="2" t="str">
        <f>_xlfn.XLOOKUP(C664,customers!$A$1:$A$1001,customers!$G$1:$G$1001,,0)</f>
        <v>United States</v>
      </c>
      <c r="J664" s="2" t="str">
        <f>_xlfn.XLOOKUP(Orders[[#This Row],[Customer ID]],customers!$A$1:$A$1001,customers!$F$1:$F$1001,,0)</f>
        <v>Murfreesboro</v>
      </c>
      <c r="K664" t="str">
        <f>INDEX(products!$A$1:$G$49,MATCH(orders!$D664,products!$A$1:$A$49,0),MATCH(orders!K$1,products!$A$1:$G$1,0))</f>
        <v>Lib</v>
      </c>
      <c r="L664" t="str">
        <f>INDEX(products!$A$1:$G$49,MATCH(orders!$D664,products!$A$1:$A$49,0),MATCH(orders!L$1,products!$A$1:$G$1,0))</f>
        <v>D</v>
      </c>
      <c r="M664" s="14">
        <f>INDEX(products!$A$1:$G$49,MATCH(orders!$D664,products!$A$1:$A$49,0),MATCH(orders!M$1,products!$A$1:$G$1,0))</f>
        <v>2.5</v>
      </c>
      <c r="N664" s="4">
        <f>INDEX(products!$A$1:$G$49,MATCH(orders!$D664,products!$A$1:$A$49,0),MATCH(orders!N$1,products!$A$1:$G$1,0))</f>
        <v>29.784999999999997</v>
      </c>
      <c r="O664" s="13">
        <f t="shared" si="50"/>
        <v>148.92499999999998</v>
      </c>
      <c r="P664" s="13">
        <f>_xlfn.XLOOKUP(Orders[[#This Row],[Product ID]],products!$A$1:$A$49,products!$G$1:$G$49,,0)</f>
        <v>3.8720499999999998</v>
      </c>
      <c r="Q664" s="13">
        <f t="shared" si="51"/>
        <v>19.360250000000001</v>
      </c>
      <c r="R664" t="str">
        <f t="shared" si="53"/>
        <v>Liberica</v>
      </c>
      <c r="S664" t="str">
        <f t="shared" si="54"/>
        <v>Dark</v>
      </c>
      <c r="T664" t="str">
        <f>_xlfn.XLOOKUP(Orders[[#This Row],[Customer ID]],customers!$A$1:$A$1001,customers!$I$1:$I$1001,,0)</f>
        <v>No</v>
      </c>
    </row>
    <row r="665" spans="1:20" x14ac:dyDescent="0.35">
      <c r="A665" s="2" t="s">
        <v>4234</v>
      </c>
      <c r="B665" s="3">
        <v>43554</v>
      </c>
      <c r="C665" s="2" t="s">
        <v>4235</v>
      </c>
      <c r="D665" t="s">
        <v>6155</v>
      </c>
      <c r="E665" t="str">
        <f t="shared" si="52"/>
        <v>Arabica-Medium-1</v>
      </c>
      <c r="F665" s="2">
        <v>6</v>
      </c>
      <c r="G665" s="2" t="str" cm="1">
        <f t="array" ref="G665">_xlfn.XLOOKUP(C665, customers!$A$1:A1664,customers!$B$1:B1664,,0)</f>
        <v>Corrie Wass</v>
      </c>
      <c r="H665" s="2" t="str" cm="1">
        <f t="array" ref="H665">IF(_xlfn.XLOOKUP(C665,customers!$A$1:A1664,customers!$C$1:C1664,,0) = 0,"", _xlfn.XLOOKUP(C665,customers!$A$1:A1664,customers!$C$1:C1664,,0))</f>
        <v>cwassif@prweb.com</v>
      </c>
      <c r="I665" s="2" t="str">
        <f>_xlfn.XLOOKUP(C665,customers!$A$1:$A$1001,customers!$G$1:$G$1001,,0)</f>
        <v>United States</v>
      </c>
      <c r="J665" s="2" t="str">
        <f>_xlfn.XLOOKUP(Orders[[#This Row],[Customer ID]],customers!$A$1:$A$1001,customers!$F$1:$F$1001,,0)</f>
        <v>Charleston</v>
      </c>
      <c r="K665" t="str">
        <f>INDEX(products!$A$1:$G$49,MATCH(orders!$D665,products!$A$1:$A$49,0),MATCH(orders!K$1,products!$A$1:$G$1,0))</f>
        <v>Ara</v>
      </c>
      <c r="L665" t="str">
        <f>INDEX(products!$A$1:$G$49,MATCH(orders!$D665,products!$A$1:$A$49,0),MATCH(orders!L$1,products!$A$1:$G$1,0))</f>
        <v>M</v>
      </c>
      <c r="M665" s="14">
        <f>INDEX(products!$A$1:$G$49,MATCH(orders!$D665,products!$A$1:$A$49,0),MATCH(orders!M$1,products!$A$1:$G$1,0))</f>
        <v>1</v>
      </c>
      <c r="N665" s="4">
        <f>INDEX(products!$A$1:$G$49,MATCH(orders!$D665,products!$A$1:$A$49,0),MATCH(orders!N$1,products!$A$1:$G$1,0))</f>
        <v>11.25</v>
      </c>
      <c r="O665" s="13">
        <f t="shared" si="50"/>
        <v>67.5</v>
      </c>
      <c r="P665" s="13">
        <f>_xlfn.XLOOKUP(Orders[[#This Row],[Product ID]],products!$A$1:$A$49,products!$G$1:$G$49,,0)</f>
        <v>1.0125</v>
      </c>
      <c r="Q665" s="13">
        <f t="shared" si="51"/>
        <v>6.0749999999999993</v>
      </c>
      <c r="R665" t="str">
        <f t="shared" si="53"/>
        <v>Arabica</v>
      </c>
      <c r="S665" t="str">
        <f t="shared" si="54"/>
        <v>Medium</v>
      </c>
      <c r="T665" t="str">
        <f>_xlfn.XLOOKUP(Orders[[#This Row],[Customer ID]],customers!$A$1:$A$1001,customers!$I$1:$I$1001,,0)</f>
        <v>No</v>
      </c>
    </row>
    <row r="666" spans="1:20" x14ac:dyDescent="0.35">
      <c r="A666" s="2" t="s">
        <v>4239</v>
      </c>
      <c r="B666" s="3">
        <v>44549</v>
      </c>
      <c r="C666" s="2" t="s">
        <v>4240</v>
      </c>
      <c r="D666" t="s">
        <v>6183</v>
      </c>
      <c r="E666" t="str">
        <f t="shared" si="52"/>
        <v>Excelsa-Dark-1</v>
      </c>
      <c r="F666" s="2">
        <v>6</v>
      </c>
      <c r="G666" s="2" t="str" cm="1">
        <f t="array" ref="G666">_xlfn.XLOOKUP(C666, customers!$A$1:A1665,customers!$B$1:B1665,,0)</f>
        <v>Ira Sjostrom</v>
      </c>
      <c r="H666" s="2" t="str" cm="1">
        <f t="array" ref="H666">IF(_xlfn.XLOOKUP(C666,customers!$A$1:A1665,customers!$C$1:C1665,,0) = 0,"", _xlfn.XLOOKUP(C666,customers!$A$1:A1665,customers!$C$1:C1665,,0))</f>
        <v>isjostromig@pbs.org</v>
      </c>
      <c r="I666" s="2" t="str">
        <f>_xlfn.XLOOKUP(C666,customers!$A$1:$A$1001,customers!$G$1:$G$1001,,0)</f>
        <v>United States</v>
      </c>
      <c r="J666" s="2" t="str">
        <f>_xlfn.XLOOKUP(Orders[[#This Row],[Customer ID]],customers!$A$1:$A$1001,customers!$F$1:$F$1001,,0)</f>
        <v>Erie</v>
      </c>
      <c r="K666" t="str">
        <f>INDEX(products!$A$1:$G$49,MATCH(orders!$D666,products!$A$1:$A$49,0),MATCH(orders!K$1,products!$A$1:$G$1,0))</f>
        <v>Exc</v>
      </c>
      <c r="L666" t="str">
        <f>INDEX(products!$A$1:$G$49,MATCH(orders!$D666,products!$A$1:$A$49,0),MATCH(orders!L$1,products!$A$1:$G$1,0))</f>
        <v>D</v>
      </c>
      <c r="M666" s="14">
        <f>INDEX(products!$A$1:$G$49,MATCH(orders!$D666,products!$A$1:$A$49,0),MATCH(orders!M$1,products!$A$1:$G$1,0))</f>
        <v>1</v>
      </c>
      <c r="N666" s="4">
        <f>INDEX(products!$A$1:$G$49,MATCH(orders!$D666,products!$A$1:$A$49,0),MATCH(orders!N$1,products!$A$1:$G$1,0))</f>
        <v>12.15</v>
      </c>
      <c r="O666" s="13">
        <f t="shared" si="50"/>
        <v>72.900000000000006</v>
      </c>
      <c r="P666" s="13">
        <f>_xlfn.XLOOKUP(Orders[[#This Row],[Product ID]],products!$A$1:$A$49,products!$G$1:$G$49,,0)</f>
        <v>1.3365</v>
      </c>
      <c r="Q666" s="13">
        <f t="shared" si="51"/>
        <v>8.0190000000000001</v>
      </c>
      <c r="R666" t="str">
        <f t="shared" si="53"/>
        <v>Execelsa</v>
      </c>
      <c r="S666" t="str">
        <f t="shared" si="54"/>
        <v>Dark</v>
      </c>
      <c r="T666" t="str">
        <f>_xlfn.XLOOKUP(Orders[[#This Row],[Customer ID]],customers!$A$1:$A$1001,customers!$I$1:$I$1001,,0)</f>
        <v>No</v>
      </c>
    </row>
    <row r="667" spans="1:20" x14ac:dyDescent="0.35">
      <c r="A667" s="2" t="s">
        <v>4239</v>
      </c>
      <c r="B667" s="3">
        <v>44549</v>
      </c>
      <c r="C667" s="2" t="s">
        <v>4240</v>
      </c>
      <c r="D667" t="s">
        <v>6150</v>
      </c>
      <c r="E667" t="str">
        <f t="shared" si="52"/>
        <v>Liberica-Dark-0.2</v>
      </c>
      <c r="F667" s="2">
        <v>2</v>
      </c>
      <c r="G667" s="2" t="str" cm="1">
        <f t="array" ref="G667">_xlfn.XLOOKUP(C667, customers!$A$1:A1666,customers!$B$1:B1666,,0)</f>
        <v>Ira Sjostrom</v>
      </c>
      <c r="H667" s="2" t="str" cm="1">
        <f t="array" ref="H667">IF(_xlfn.XLOOKUP(C667,customers!$A$1:A1666,customers!$C$1:C1666,,0) = 0,"", _xlfn.XLOOKUP(C667,customers!$A$1:A1666,customers!$C$1:C1666,,0))</f>
        <v>isjostromig@pbs.org</v>
      </c>
      <c r="I667" s="2" t="str">
        <f>_xlfn.XLOOKUP(C667,customers!$A$1:$A$1001,customers!$G$1:$G$1001,,0)</f>
        <v>United States</v>
      </c>
      <c r="J667" s="2" t="str">
        <f>_xlfn.XLOOKUP(Orders[[#This Row],[Customer ID]],customers!$A$1:$A$1001,customers!$F$1:$F$1001,,0)</f>
        <v>Erie</v>
      </c>
      <c r="K667" t="str">
        <f>INDEX(products!$A$1:$G$49,MATCH(orders!$D667,products!$A$1:$A$49,0),MATCH(orders!K$1,products!$A$1:$G$1,0))</f>
        <v>Lib</v>
      </c>
      <c r="L667" t="str">
        <f>INDEX(products!$A$1:$G$49,MATCH(orders!$D667,products!$A$1:$A$49,0),MATCH(orders!L$1,products!$A$1:$G$1,0))</f>
        <v>D</v>
      </c>
      <c r="M667" s="14">
        <f>INDEX(products!$A$1:$G$49,MATCH(orders!$D667,products!$A$1:$A$49,0),MATCH(orders!M$1,products!$A$1:$G$1,0))</f>
        <v>0.2</v>
      </c>
      <c r="N667" s="4">
        <f>INDEX(products!$A$1:$G$49,MATCH(orders!$D667,products!$A$1:$A$49,0),MATCH(orders!N$1,products!$A$1:$G$1,0))</f>
        <v>3.8849999999999998</v>
      </c>
      <c r="O667" s="13">
        <f t="shared" si="50"/>
        <v>7.77</v>
      </c>
      <c r="P667" s="13">
        <f>_xlfn.XLOOKUP(Orders[[#This Row],[Product ID]],products!$A$1:$A$49,products!$G$1:$G$49,,0)</f>
        <v>0.50505</v>
      </c>
      <c r="Q667" s="13">
        <f t="shared" si="51"/>
        <v>1.0101</v>
      </c>
      <c r="R667" t="str">
        <f t="shared" si="53"/>
        <v>Liberica</v>
      </c>
      <c r="S667" t="str">
        <f t="shared" si="54"/>
        <v>Dark</v>
      </c>
      <c r="T667" t="str">
        <f>_xlfn.XLOOKUP(Orders[[#This Row],[Customer ID]],customers!$A$1:$A$1001,customers!$I$1:$I$1001,,0)</f>
        <v>No</v>
      </c>
    </row>
    <row r="668" spans="1:20" x14ac:dyDescent="0.35">
      <c r="A668" s="2" t="s">
        <v>4250</v>
      </c>
      <c r="B668" s="3">
        <v>43987</v>
      </c>
      <c r="C668" s="2" t="s">
        <v>4251</v>
      </c>
      <c r="D668" t="s">
        <v>6168</v>
      </c>
      <c r="E668" t="str">
        <f t="shared" si="52"/>
        <v>Arabica-Dark-2.5</v>
      </c>
      <c r="F668" s="2">
        <v>4</v>
      </c>
      <c r="G668" s="2" t="str" cm="1">
        <f t="array" ref="G668">_xlfn.XLOOKUP(C668, customers!$A$1:A1667,customers!$B$1:B1667,,0)</f>
        <v>Jermaine Branchett</v>
      </c>
      <c r="H668" s="2" t="str" cm="1">
        <f t="array" ref="H668">IF(_xlfn.XLOOKUP(C668,customers!$A$1:A1667,customers!$C$1:C1667,,0) = 0,"", _xlfn.XLOOKUP(C668,customers!$A$1:A1667,customers!$C$1:C1667,,0))</f>
        <v>jbranchettii@bravesites.com</v>
      </c>
      <c r="I668" s="2" t="str">
        <f>_xlfn.XLOOKUP(C668,customers!$A$1:$A$1001,customers!$G$1:$G$1001,,0)</f>
        <v>United States</v>
      </c>
      <c r="J668" s="2" t="str">
        <f>_xlfn.XLOOKUP(Orders[[#This Row],[Customer ID]],customers!$A$1:$A$1001,customers!$F$1:$F$1001,,0)</f>
        <v>Lubbock</v>
      </c>
      <c r="K668" t="str">
        <f>INDEX(products!$A$1:$G$49,MATCH(orders!$D668,products!$A$1:$A$49,0),MATCH(orders!K$1,products!$A$1:$G$1,0))</f>
        <v>Ara</v>
      </c>
      <c r="L668" t="str">
        <f>INDEX(products!$A$1:$G$49,MATCH(orders!$D668,products!$A$1:$A$49,0),MATCH(orders!L$1,products!$A$1:$G$1,0))</f>
        <v>D</v>
      </c>
      <c r="M668" s="14">
        <f>INDEX(products!$A$1:$G$49,MATCH(orders!$D668,products!$A$1:$A$49,0),MATCH(orders!M$1,products!$A$1:$G$1,0))</f>
        <v>2.5</v>
      </c>
      <c r="N668" s="4">
        <f>INDEX(products!$A$1:$G$49,MATCH(orders!$D668,products!$A$1:$A$49,0),MATCH(orders!N$1,products!$A$1:$G$1,0))</f>
        <v>22.884999999999998</v>
      </c>
      <c r="O668" s="13">
        <f t="shared" si="50"/>
        <v>91.539999999999992</v>
      </c>
      <c r="P668" s="13">
        <f>_xlfn.XLOOKUP(Orders[[#This Row],[Product ID]],products!$A$1:$A$49,products!$G$1:$G$49,,0)</f>
        <v>2.0596499999999995</v>
      </c>
      <c r="Q668" s="13">
        <f t="shared" si="51"/>
        <v>8.2385999999999981</v>
      </c>
      <c r="R668" t="str">
        <f t="shared" si="53"/>
        <v>Arabica</v>
      </c>
      <c r="S668" t="str">
        <f t="shared" si="54"/>
        <v>Dark</v>
      </c>
      <c r="T668" t="str">
        <f>_xlfn.XLOOKUP(Orders[[#This Row],[Customer ID]],customers!$A$1:$A$1001,customers!$I$1:$I$1001,,0)</f>
        <v>No</v>
      </c>
    </row>
    <row r="669" spans="1:20" x14ac:dyDescent="0.35">
      <c r="A669" s="2" t="s">
        <v>4256</v>
      </c>
      <c r="B669" s="3">
        <v>44451</v>
      </c>
      <c r="C669" s="2" t="s">
        <v>4257</v>
      </c>
      <c r="D669" t="s">
        <v>6147</v>
      </c>
      <c r="E669" t="str">
        <f t="shared" si="52"/>
        <v>Arabica-Dark-1</v>
      </c>
      <c r="F669" s="2">
        <v>6</v>
      </c>
      <c r="G669" s="2" t="str" cm="1">
        <f t="array" ref="G669">_xlfn.XLOOKUP(C669, customers!$A$1:A1668,customers!$B$1:B1668,,0)</f>
        <v>Nissie Rudland</v>
      </c>
      <c r="H669" s="2" t="str" cm="1">
        <f t="array" ref="H669">IF(_xlfn.XLOOKUP(C669,customers!$A$1:A1668,customers!$C$1:C1668,,0) = 0,"", _xlfn.XLOOKUP(C669,customers!$A$1:A1668,customers!$C$1:C1668,,0))</f>
        <v>nrudlandij@blogs.com</v>
      </c>
      <c r="I669" s="2" t="str">
        <f>_xlfn.XLOOKUP(C669,customers!$A$1:$A$1001,customers!$G$1:$G$1001,,0)</f>
        <v>Ireland</v>
      </c>
      <c r="J669" s="2" t="str">
        <f>_xlfn.XLOOKUP(Orders[[#This Row],[Customer ID]],customers!$A$1:$A$1001,customers!$F$1:$F$1001,,0)</f>
        <v>Gorey</v>
      </c>
      <c r="K669" t="str">
        <f>INDEX(products!$A$1:$G$49,MATCH(orders!$D669,products!$A$1:$A$49,0),MATCH(orders!K$1,products!$A$1:$G$1,0))</f>
        <v>Ara</v>
      </c>
      <c r="L669" t="str">
        <f>INDEX(products!$A$1:$G$49,MATCH(orders!$D669,products!$A$1:$A$49,0),MATCH(orders!L$1,products!$A$1:$G$1,0))</f>
        <v>D</v>
      </c>
      <c r="M669" s="14">
        <f>INDEX(products!$A$1:$G$49,MATCH(orders!$D669,products!$A$1:$A$49,0),MATCH(orders!M$1,products!$A$1:$G$1,0))</f>
        <v>1</v>
      </c>
      <c r="N669" s="4">
        <f>INDEX(products!$A$1:$G$49,MATCH(orders!$D669,products!$A$1:$A$49,0),MATCH(orders!N$1,products!$A$1:$G$1,0))</f>
        <v>9.9499999999999993</v>
      </c>
      <c r="O669" s="13">
        <f t="shared" si="50"/>
        <v>59.699999999999996</v>
      </c>
      <c r="P669" s="13">
        <f>_xlfn.XLOOKUP(Orders[[#This Row],[Product ID]],products!$A$1:$A$49,products!$G$1:$G$49,,0)</f>
        <v>0.89549999999999985</v>
      </c>
      <c r="Q669" s="13">
        <f t="shared" si="51"/>
        <v>5.3729999999999993</v>
      </c>
      <c r="R669" t="str">
        <f t="shared" si="53"/>
        <v>Arabica</v>
      </c>
      <c r="S669" t="str">
        <f t="shared" si="54"/>
        <v>Dark</v>
      </c>
      <c r="T669" t="str">
        <f>_xlfn.XLOOKUP(Orders[[#This Row],[Customer ID]],customers!$A$1:$A$1001,customers!$I$1:$I$1001,,0)</f>
        <v>No</v>
      </c>
    </row>
    <row r="670" spans="1:20" x14ac:dyDescent="0.35">
      <c r="A670" s="2" t="s">
        <v>4262</v>
      </c>
      <c r="B670" s="3">
        <v>44636</v>
      </c>
      <c r="C670" s="2" t="s">
        <v>4263</v>
      </c>
      <c r="D670" t="s">
        <v>6142</v>
      </c>
      <c r="E670" t="str">
        <f t="shared" si="52"/>
        <v>Robusta-Light-2.5</v>
      </c>
      <c r="F670" s="2">
        <v>5</v>
      </c>
      <c r="G670" s="2" t="str" cm="1">
        <f t="array" ref="G670">_xlfn.XLOOKUP(C670, customers!$A$1:A1669,customers!$B$1:B1669,,0)</f>
        <v>Janella Millett</v>
      </c>
      <c r="H670" s="2" t="str" cm="1">
        <f t="array" ref="H670">IF(_xlfn.XLOOKUP(C670,customers!$A$1:A1669,customers!$C$1:C1669,,0) = 0,"", _xlfn.XLOOKUP(C670,customers!$A$1:A1669,customers!$C$1:C1669,,0))</f>
        <v>jmillettik@addtoany.com</v>
      </c>
      <c r="I670" s="2" t="str">
        <f>_xlfn.XLOOKUP(C670,customers!$A$1:$A$1001,customers!$G$1:$G$1001,,0)</f>
        <v>United States</v>
      </c>
      <c r="J670" s="2" t="str">
        <f>_xlfn.XLOOKUP(Orders[[#This Row],[Customer ID]],customers!$A$1:$A$1001,customers!$F$1:$F$1001,,0)</f>
        <v>Durham</v>
      </c>
      <c r="K670" t="str">
        <f>INDEX(products!$A$1:$G$49,MATCH(orders!$D670,products!$A$1:$A$49,0),MATCH(orders!K$1,products!$A$1:$G$1,0))</f>
        <v>Rob</v>
      </c>
      <c r="L670" t="str">
        <f>INDEX(products!$A$1:$G$49,MATCH(orders!$D670,products!$A$1:$A$49,0),MATCH(orders!L$1,products!$A$1:$G$1,0))</f>
        <v>L</v>
      </c>
      <c r="M670" s="14">
        <f>INDEX(products!$A$1:$G$49,MATCH(orders!$D670,products!$A$1:$A$49,0),MATCH(orders!M$1,products!$A$1:$G$1,0))</f>
        <v>2.5</v>
      </c>
      <c r="N670" s="4">
        <f>INDEX(products!$A$1:$G$49,MATCH(orders!$D670,products!$A$1:$A$49,0),MATCH(orders!N$1,products!$A$1:$G$1,0))</f>
        <v>27.484999999999996</v>
      </c>
      <c r="O670" s="13">
        <f t="shared" si="50"/>
        <v>137.42499999999998</v>
      </c>
      <c r="P670" s="13">
        <f>_xlfn.XLOOKUP(Orders[[#This Row],[Product ID]],products!$A$1:$A$49,products!$G$1:$G$49,,0)</f>
        <v>1.6490999999999998</v>
      </c>
      <c r="Q670" s="13">
        <f t="shared" si="51"/>
        <v>8.2454999999999998</v>
      </c>
      <c r="R670" t="str">
        <f t="shared" si="53"/>
        <v>Robusta</v>
      </c>
      <c r="S670" t="str">
        <f t="shared" si="54"/>
        <v>Light</v>
      </c>
      <c r="T670" t="str">
        <f>_xlfn.XLOOKUP(Orders[[#This Row],[Customer ID]],customers!$A$1:$A$1001,customers!$I$1:$I$1001,,0)</f>
        <v>Yes</v>
      </c>
    </row>
    <row r="671" spans="1:20" x14ac:dyDescent="0.35">
      <c r="A671" s="2" t="s">
        <v>4268</v>
      </c>
      <c r="B671" s="3">
        <v>44551</v>
      </c>
      <c r="C671" s="2" t="s">
        <v>4269</v>
      </c>
      <c r="D671" t="s">
        <v>6181</v>
      </c>
      <c r="E671" t="str">
        <f t="shared" si="52"/>
        <v>Liberica-Medium-2.5</v>
      </c>
      <c r="F671" s="2">
        <v>2</v>
      </c>
      <c r="G671" s="2" t="str" cm="1">
        <f t="array" ref="G671">_xlfn.XLOOKUP(C671, customers!$A$1:A1670,customers!$B$1:B1670,,0)</f>
        <v>Ferdie Tourry</v>
      </c>
      <c r="H671" s="2" t="str" cm="1">
        <f t="array" ref="H671">IF(_xlfn.XLOOKUP(C671,customers!$A$1:A1670,customers!$C$1:C1670,,0) = 0,"", _xlfn.XLOOKUP(C671,customers!$A$1:A1670,customers!$C$1:C1670,,0))</f>
        <v>ftourryil@google.de</v>
      </c>
      <c r="I671" s="2" t="str">
        <f>_xlfn.XLOOKUP(C671,customers!$A$1:$A$1001,customers!$G$1:$G$1001,,0)</f>
        <v>United States</v>
      </c>
      <c r="J671" s="2" t="str">
        <f>_xlfn.XLOOKUP(Orders[[#This Row],[Customer ID]],customers!$A$1:$A$1001,customers!$F$1:$F$1001,,0)</f>
        <v>Florence</v>
      </c>
      <c r="K671" t="str">
        <f>INDEX(products!$A$1:$G$49,MATCH(orders!$D671,products!$A$1:$A$49,0),MATCH(orders!K$1,products!$A$1:$G$1,0))</f>
        <v>Lib</v>
      </c>
      <c r="L671" t="str">
        <f>INDEX(products!$A$1:$G$49,MATCH(orders!$D671,products!$A$1:$A$49,0),MATCH(orders!L$1,products!$A$1:$G$1,0))</f>
        <v>M</v>
      </c>
      <c r="M671" s="14">
        <f>INDEX(products!$A$1:$G$49,MATCH(orders!$D671,products!$A$1:$A$49,0),MATCH(orders!M$1,products!$A$1:$G$1,0))</f>
        <v>2.5</v>
      </c>
      <c r="N671" s="4">
        <f>INDEX(products!$A$1:$G$49,MATCH(orders!$D671,products!$A$1:$A$49,0),MATCH(orders!N$1,products!$A$1:$G$1,0))</f>
        <v>33.464999999999996</v>
      </c>
      <c r="O671" s="13">
        <f t="shared" si="50"/>
        <v>66.929999999999993</v>
      </c>
      <c r="P671" s="13">
        <f>_xlfn.XLOOKUP(Orders[[#This Row],[Product ID]],products!$A$1:$A$49,products!$G$1:$G$49,,0)</f>
        <v>4.3504499999999995</v>
      </c>
      <c r="Q671" s="13">
        <f t="shared" si="51"/>
        <v>8.700899999999999</v>
      </c>
      <c r="R671" t="str">
        <f t="shared" si="53"/>
        <v>Liberica</v>
      </c>
      <c r="S671" t="str">
        <f t="shared" si="54"/>
        <v>Medium</v>
      </c>
      <c r="T671" t="str">
        <f>_xlfn.XLOOKUP(Orders[[#This Row],[Customer ID]],customers!$A$1:$A$1001,customers!$I$1:$I$1001,,0)</f>
        <v>No</v>
      </c>
    </row>
    <row r="672" spans="1:20" x14ac:dyDescent="0.35">
      <c r="A672" s="2" t="s">
        <v>4274</v>
      </c>
      <c r="B672" s="3">
        <v>43606</v>
      </c>
      <c r="C672" s="2" t="s">
        <v>4275</v>
      </c>
      <c r="D672" t="s">
        <v>6159</v>
      </c>
      <c r="E672" t="str">
        <f t="shared" si="52"/>
        <v>Liberica-Medium-0.2</v>
      </c>
      <c r="F672" s="2">
        <v>3</v>
      </c>
      <c r="G672" s="2" t="str" cm="1">
        <f t="array" ref="G672">_xlfn.XLOOKUP(C672, customers!$A$1:A1671,customers!$B$1:B1671,,0)</f>
        <v>Cecil Weatherall</v>
      </c>
      <c r="H672" s="2" t="str" cm="1">
        <f t="array" ref="H672">IF(_xlfn.XLOOKUP(C672,customers!$A$1:A1671,customers!$C$1:C1671,,0) = 0,"", _xlfn.XLOOKUP(C672,customers!$A$1:A1671,customers!$C$1:C1671,,0))</f>
        <v>cweatherallim@toplist.cz</v>
      </c>
      <c r="I672" s="2" t="str">
        <f>_xlfn.XLOOKUP(C672,customers!$A$1:$A$1001,customers!$G$1:$G$1001,,0)</f>
        <v>United States</v>
      </c>
      <c r="J672" s="2" t="str">
        <f>_xlfn.XLOOKUP(Orders[[#This Row],[Customer ID]],customers!$A$1:$A$1001,customers!$F$1:$F$1001,,0)</f>
        <v>Syracuse</v>
      </c>
      <c r="K672" t="str">
        <f>INDEX(products!$A$1:$G$49,MATCH(orders!$D672,products!$A$1:$A$49,0),MATCH(orders!K$1,products!$A$1:$G$1,0))</f>
        <v>Lib</v>
      </c>
      <c r="L672" t="str">
        <f>INDEX(products!$A$1:$G$49,MATCH(orders!$D672,products!$A$1:$A$49,0),MATCH(orders!L$1,products!$A$1:$G$1,0))</f>
        <v>M</v>
      </c>
      <c r="M672" s="14">
        <f>INDEX(products!$A$1:$G$49,MATCH(orders!$D672,products!$A$1:$A$49,0),MATCH(orders!M$1,products!$A$1:$G$1,0))</f>
        <v>0.2</v>
      </c>
      <c r="N672" s="4">
        <f>INDEX(products!$A$1:$G$49,MATCH(orders!$D672,products!$A$1:$A$49,0),MATCH(orders!N$1,products!$A$1:$G$1,0))</f>
        <v>4.3650000000000002</v>
      </c>
      <c r="O672" s="13">
        <f t="shared" si="50"/>
        <v>13.095000000000001</v>
      </c>
      <c r="P672" s="13">
        <f>_xlfn.XLOOKUP(Orders[[#This Row],[Product ID]],products!$A$1:$A$49,products!$G$1:$G$49,,0)</f>
        <v>0.56745000000000001</v>
      </c>
      <c r="Q672" s="13">
        <f t="shared" si="51"/>
        <v>1.70235</v>
      </c>
      <c r="R672" t="str">
        <f t="shared" si="53"/>
        <v>Liberica</v>
      </c>
      <c r="S672" t="str">
        <f t="shared" si="54"/>
        <v>Medium</v>
      </c>
      <c r="T672" t="str">
        <f>_xlfn.XLOOKUP(Orders[[#This Row],[Customer ID]],customers!$A$1:$A$1001,customers!$I$1:$I$1001,,0)</f>
        <v>Yes</v>
      </c>
    </row>
    <row r="673" spans="1:20" x14ac:dyDescent="0.35">
      <c r="A673" s="2" t="s">
        <v>4280</v>
      </c>
      <c r="B673" s="3">
        <v>44495</v>
      </c>
      <c r="C673" s="2" t="s">
        <v>4281</v>
      </c>
      <c r="D673" t="s">
        <v>6179</v>
      </c>
      <c r="E673" t="str">
        <f t="shared" si="52"/>
        <v>Robusta-Light-1</v>
      </c>
      <c r="F673" s="2">
        <v>5</v>
      </c>
      <c r="G673" s="2" t="str" cm="1">
        <f t="array" ref="G673">_xlfn.XLOOKUP(C673, customers!$A$1:A1672,customers!$B$1:B1672,,0)</f>
        <v>Gale Heindrick</v>
      </c>
      <c r="H673" s="2" t="str" cm="1">
        <f t="array" ref="H673">IF(_xlfn.XLOOKUP(C673,customers!$A$1:A1672,customers!$C$1:C1672,,0) = 0,"", _xlfn.XLOOKUP(C673,customers!$A$1:A1672,customers!$C$1:C1672,,0))</f>
        <v>gheindrickin@usda.gov</v>
      </c>
      <c r="I673" s="2" t="str">
        <f>_xlfn.XLOOKUP(C673,customers!$A$1:$A$1001,customers!$G$1:$G$1001,,0)</f>
        <v>United States</v>
      </c>
      <c r="J673" s="2" t="str">
        <f>_xlfn.XLOOKUP(Orders[[#This Row],[Customer ID]],customers!$A$1:$A$1001,customers!$F$1:$F$1001,,0)</f>
        <v>Lawrenceville</v>
      </c>
      <c r="K673" t="str">
        <f>INDEX(products!$A$1:$G$49,MATCH(orders!$D673,products!$A$1:$A$49,0),MATCH(orders!K$1,products!$A$1:$G$1,0))</f>
        <v>Rob</v>
      </c>
      <c r="L673" t="str">
        <f>INDEX(products!$A$1:$G$49,MATCH(orders!$D673,products!$A$1:$A$49,0),MATCH(orders!L$1,products!$A$1:$G$1,0))</f>
        <v>L</v>
      </c>
      <c r="M673" s="14">
        <f>INDEX(products!$A$1:$G$49,MATCH(orders!$D673,products!$A$1:$A$49,0),MATCH(orders!M$1,products!$A$1:$G$1,0))</f>
        <v>1</v>
      </c>
      <c r="N673" s="4">
        <f>INDEX(products!$A$1:$G$49,MATCH(orders!$D673,products!$A$1:$A$49,0),MATCH(orders!N$1,products!$A$1:$G$1,0))</f>
        <v>11.95</v>
      </c>
      <c r="O673" s="13">
        <f t="shared" si="50"/>
        <v>59.75</v>
      </c>
      <c r="P673" s="13">
        <f>_xlfn.XLOOKUP(Orders[[#This Row],[Product ID]],products!$A$1:$A$49,products!$G$1:$G$49,,0)</f>
        <v>0.71699999999999997</v>
      </c>
      <c r="Q673" s="13">
        <f t="shared" si="51"/>
        <v>3.585</v>
      </c>
      <c r="R673" t="str">
        <f t="shared" si="53"/>
        <v>Robusta</v>
      </c>
      <c r="S673" t="str">
        <f t="shared" si="54"/>
        <v>Light</v>
      </c>
      <c r="T673" t="str">
        <f>_xlfn.XLOOKUP(Orders[[#This Row],[Customer ID]],customers!$A$1:$A$1001,customers!$I$1:$I$1001,,0)</f>
        <v>No</v>
      </c>
    </row>
    <row r="674" spans="1:20" x14ac:dyDescent="0.35">
      <c r="A674" s="2" t="s">
        <v>4286</v>
      </c>
      <c r="B674" s="3">
        <v>43916</v>
      </c>
      <c r="C674" s="2" t="s">
        <v>4287</v>
      </c>
      <c r="D674" t="s">
        <v>6160</v>
      </c>
      <c r="E674" t="str">
        <f t="shared" si="52"/>
        <v>Liberica-Medium-0.5</v>
      </c>
      <c r="F674" s="2">
        <v>5</v>
      </c>
      <c r="G674" s="2" t="str" cm="1">
        <f t="array" ref="G674">_xlfn.XLOOKUP(C674, customers!$A$1:A1673,customers!$B$1:B1673,,0)</f>
        <v>Layne Imason</v>
      </c>
      <c r="H674" s="2" t="str" cm="1">
        <f t="array" ref="H674">IF(_xlfn.XLOOKUP(C674,customers!$A$1:A1673,customers!$C$1:C1673,,0) = 0,"", _xlfn.XLOOKUP(C674,customers!$A$1:A1673,customers!$C$1:C1673,,0))</f>
        <v>limasonio@discuz.net</v>
      </c>
      <c r="I674" s="2" t="str">
        <f>_xlfn.XLOOKUP(C674,customers!$A$1:$A$1001,customers!$G$1:$G$1001,,0)</f>
        <v>United States</v>
      </c>
      <c r="J674" s="2" t="str">
        <f>_xlfn.XLOOKUP(Orders[[#This Row],[Customer ID]],customers!$A$1:$A$1001,customers!$F$1:$F$1001,,0)</f>
        <v>Houston</v>
      </c>
      <c r="K674" t="str">
        <f>INDEX(products!$A$1:$G$49,MATCH(orders!$D674,products!$A$1:$A$49,0),MATCH(orders!K$1,products!$A$1:$G$1,0))</f>
        <v>Lib</v>
      </c>
      <c r="L674" t="str">
        <f>INDEX(products!$A$1:$G$49,MATCH(orders!$D674,products!$A$1:$A$49,0),MATCH(orders!L$1,products!$A$1:$G$1,0))</f>
        <v>M</v>
      </c>
      <c r="M674" s="14">
        <f>INDEX(products!$A$1:$G$49,MATCH(orders!$D674,products!$A$1:$A$49,0),MATCH(orders!M$1,products!$A$1:$G$1,0))</f>
        <v>0.5</v>
      </c>
      <c r="N674" s="4">
        <f>INDEX(products!$A$1:$G$49,MATCH(orders!$D674,products!$A$1:$A$49,0),MATCH(orders!N$1,products!$A$1:$G$1,0))</f>
        <v>8.73</v>
      </c>
      <c r="O674" s="13">
        <f t="shared" si="50"/>
        <v>43.650000000000006</v>
      </c>
      <c r="P674" s="13">
        <f>_xlfn.XLOOKUP(Orders[[#This Row],[Product ID]],products!$A$1:$A$49,products!$G$1:$G$49,,0)</f>
        <v>1.1349</v>
      </c>
      <c r="Q674" s="13">
        <f t="shared" si="51"/>
        <v>5.6745000000000001</v>
      </c>
      <c r="R674" t="str">
        <f t="shared" si="53"/>
        <v>Liberica</v>
      </c>
      <c r="S674" t="str">
        <f t="shared" si="54"/>
        <v>Medium</v>
      </c>
      <c r="T674" t="str">
        <f>_xlfn.XLOOKUP(Orders[[#This Row],[Customer ID]],customers!$A$1:$A$1001,customers!$I$1:$I$1001,,0)</f>
        <v>Yes</v>
      </c>
    </row>
    <row r="675" spans="1:20" x14ac:dyDescent="0.35">
      <c r="A675" s="2" t="s">
        <v>4291</v>
      </c>
      <c r="B675" s="3">
        <v>44118</v>
      </c>
      <c r="C675" s="2" t="s">
        <v>4292</v>
      </c>
      <c r="D675" t="s">
        <v>6141</v>
      </c>
      <c r="E675" t="str">
        <f t="shared" si="52"/>
        <v>Excelsa-Medium-1</v>
      </c>
      <c r="F675" s="2">
        <v>6</v>
      </c>
      <c r="G675" s="2" t="str" cm="1">
        <f t="array" ref="G675">_xlfn.XLOOKUP(C675, customers!$A$1:A1674,customers!$B$1:B1674,,0)</f>
        <v>Hazel Saill</v>
      </c>
      <c r="H675" s="2" t="str" cm="1">
        <f t="array" ref="H675">IF(_xlfn.XLOOKUP(C675,customers!$A$1:A1674,customers!$C$1:C1674,,0) = 0,"", _xlfn.XLOOKUP(C675,customers!$A$1:A1674,customers!$C$1:C1674,,0))</f>
        <v>hsaillip@odnoklassniki.ru</v>
      </c>
      <c r="I675" s="2" t="str">
        <f>_xlfn.XLOOKUP(C675,customers!$A$1:$A$1001,customers!$G$1:$G$1001,,0)</f>
        <v>United States</v>
      </c>
      <c r="J675" s="2" t="str">
        <f>_xlfn.XLOOKUP(Orders[[#This Row],[Customer ID]],customers!$A$1:$A$1001,customers!$F$1:$F$1001,,0)</f>
        <v>Kansas City</v>
      </c>
      <c r="K675" t="str">
        <f>INDEX(products!$A$1:$G$49,MATCH(orders!$D675,products!$A$1:$A$49,0),MATCH(orders!K$1,products!$A$1:$G$1,0))</f>
        <v>Exc</v>
      </c>
      <c r="L675" t="str">
        <f>INDEX(products!$A$1:$G$49,MATCH(orders!$D675,products!$A$1:$A$49,0),MATCH(orders!L$1,products!$A$1:$G$1,0))</f>
        <v>M</v>
      </c>
      <c r="M675" s="14">
        <f>INDEX(products!$A$1:$G$49,MATCH(orders!$D675,products!$A$1:$A$49,0),MATCH(orders!M$1,products!$A$1:$G$1,0))</f>
        <v>1</v>
      </c>
      <c r="N675" s="4">
        <f>INDEX(products!$A$1:$G$49,MATCH(orders!$D675,products!$A$1:$A$49,0),MATCH(orders!N$1,products!$A$1:$G$1,0))</f>
        <v>13.75</v>
      </c>
      <c r="O675" s="13">
        <f t="shared" si="50"/>
        <v>82.5</v>
      </c>
      <c r="P675" s="13">
        <f>_xlfn.XLOOKUP(Orders[[#This Row],[Product ID]],products!$A$1:$A$49,products!$G$1:$G$49,,0)</f>
        <v>1.5125</v>
      </c>
      <c r="Q675" s="13">
        <f t="shared" si="51"/>
        <v>9.0749999999999993</v>
      </c>
      <c r="R675" t="str">
        <f t="shared" si="53"/>
        <v>Execelsa</v>
      </c>
      <c r="S675" t="str">
        <f t="shared" si="54"/>
        <v>Medium</v>
      </c>
      <c r="T675" t="str">
        <f>_xlfn.XLOOKUP(Orders[[#This Row],[Customer ID]],customers!$A$1:$A$1001,customers!$I$1:$I$1001,,0)</f>
        <v>Yes</v>
      </c>
    </row>
    <row r="676" spans="1:20" x14ac:dyDescent="0.35">
      <c r="A676" s="2" t="s">
        <v>4297</v>
      </c>
      <c r="B676" s="3">
        <v>44543</v>
      </c>
      <c r="C676" s="2" t="s">
        <v>4298</v>
      </c>
      <c r="D676" t="s">
        <v>6182</v>
      </c>
      <c r="E676" t="str">
        <f t="shared" si="52"/>
        <v>Arabica-Light-2.5</v>
      </c>
      <c r="F676" s="2">
        <v>6</v>
      </c>
      <c r="G676" s="2" t="str" cm="1">
        <f t="array" ref="G676">_xlfn.XLOOKUP(C676, customers!$A$1:A1675,customers!$B$1:B1675,,0)</f>
        <v>Hermann Larvor</v>
      </c>
      <c r="H676" s="2" t="str" cm="1">
        <f t="array" ref="H676">IF(_xlfn.XLOOKUP(C676,customers!$A$1:A1675,customers!$C$1:C1675,,0) = 0,"", _xlfn.XLOOKUP(C676,customers!$A$1:A1675,customers!$C$1:C1675,,0))</f>
        <v>hlarvoriq@last.fm</v>
      </c>
      <c r="I676" s="2" t="str">
        <f>_xlfn.XLOOKUP(C676,customers!$A$1:$A$1001,customers!$G$1:$G$1001,,0)</f>
        <v>United States</v>
      </c>
      <c r="J676" s="2" t="str">
        <f>_xlfn.XLOOKUP(Orders[[#This Row],[Customer ID]],customers!$A$1:$A$1001,customers!$F$1:$F$1001,,0)</f>
        <v>Bradenton</v>
      </c>
      <c r="K676" t="str">
        <f>INDEX(products!$A$1:$G$49,MATCH(orders!$D676,products!$A$1:$A$49,0),MATCH(orders!K$1,products!$A$1:$G$1,0))</f>
        <v>Ara</v>
      </c>
      <c r="L676" t="str">
        <f>INDEX(products!$A$1:$G$49,MATCH(orders!$D676,products!$A$1:$A$49,0),MATCH(orders!L$1,products!$A$1:$G$1,0))</f>
        <v>L</v>
      </c>
      <c r="M676" s="14">
        <f>INDEX(products!$A$1:$G$49,MATCH(orders!$D676,products!$A$1:$A$49,0),MATCH(orders!M$1,products!$A$1:$G$1,0))</f>
        <v>2.5</v>
      </c>
      <c r="N676" s="4">
        <f>INDEX(products!$A$1:$G$49,MATCH(orders!$D676,products!$A$1:$A$49,0),MATCH(orders!N$1,products!$A$1:$G$1,0))</f>
        <v>29.784999999999997</v>
      </c>
      <c r="O676" s="13">
        <f t="shared" si="50"/>
        <v>178.70999999999998</v>
      </c>
      <c r="P676" s="13">
        <f>_xlfn.XLOOKUP(Orders[[#This Row],[Product ID]],products!$A$1:$A$49,products!$G$1:$G$49,,0)</f>
        <v>2.6806499999999995</v>
      </c>
      <c r="Q676" s="13">
        <f t="shared" si="51"/>
        <v>16.083899999999996</v>
      </c>
      <c r="R676" t="str">
        <f t="shared" si="53"/>
        <v>Arabica</v>
      </c>
      <c r="S676" t="str">
        <f t="shared" si="54"/>
        <v>Light</v>
      </c>
      <c r="T676" t="str">
        <f>_xlfn.XLOOKUP(Orders[[#This Row],[Customer ID]],customers!$A$1:$A$1001,customers!$I$1:$I$1001,,0)</f>
        <v>Yes</v>
      </c>
    </row>
    <row r="677" spans="1:20" x14ac:dyDescent="0.35">
      <c r="A677" s="2" t="s">
        <v>4303</v>
      </c>
      <c r="B677" s="3">
        <v>44263</v>
      </c>
      <c r="C677" s="2" t="s">
        <v>4304</v>
      </c>
      <c r="D677" t="s">
        <v>6165</v>
      </c>
      <c r="E677" t="str">
        <f t="shared" si="52"/>
        <v>Liberica-Dark-2.5</v>
      </c>
      <c r="F677" s="2">
        <v>4</v>
      </c>
      <c r="G677" s="2" t="str" cm="1">
        <f t="array" ref="G677">_xlfn.XLOOKUP(C677, customers!$A$1:A1676,customers!$B$1:B1676,,0)</f>
        <v>Terri Lyford</v>
      </c>
      <c r="H677" s="2" t="str" cm="1">
        <f t="array" ref="H677">IF(_xlfn.XLOOKUP(C677,customers!$A$1:A1676,customers!$C$1:C1676,,0) = 0,"", _xlfn.XLOOKUP(C677,customers!$A$1:A1676,customers!$C$1:C1676,,0))</f>
        <v/>
      </c>
      <c r="I677" s="2" t="str">
        <f>_xlfn.XLOOKUP(C677,customers!$A$1:$A$1001,customers!$G$1:$G$1001,,0)</f>
        <v>United States</v>
      </c>
      <c r="J677" s="2" t="str">
        <f>_xlfn.XLOOKUP(Orders[[#This Row],[Customer ID]],customers!$A$1:$A$1001,customers!$F$1:$F$1001,,0)</f>
        <v>Allentown</v>
      </c>
      <c r="K677" t="str">
        <f>INDEX(products!$A$1:$G$49,MATCH(orders!$D677,products!$A$1:$A$49,0),MATCH(orders!K$1,products!$A$1:$G$1,0))</f>
        <v>Lib</v>
      </c>
      <c r="L677" t="str">
        <f>INDEX(products!$A$1:$G$49,MATCH(orders!$D677,products!$A$1:$A$49,0),MATCH(orders!L$1,products!$A$1:$G$1,0))</f>
        <v>D</v>
      </c>
      <c r="M677" s="14">
        <f>INDEX(products!$A$1:$G$49,MATCH(orders!$D677,products!$A$1:$A$49,0),MATCH(orders!M$1,products!$A$1:$G$1,0))</f>
        <v>2.5</v>
      </c>
      <c r="N677" s="4">
        <f>INDEX(products!$A$1:$G$49,MATCH(orders!$D677,products!$A$1:$A$49,0),MATCH(orders!N$1,products!$A$1:$G$1,0))</f>
        <v>29.784999999999997</v>
      </c>
      <c r="O677" s="13">
        <f t="shared" si="50"/>
        <v>119.13999999999999</v>
      </c>
      <c r="P677" s="13">
        <f>_xlfn.XLOOKUP(Orders[[#This Row],[Product ID]],products!$A$1:$A$49,products!$G$1:$G$49,,0)</f>
        <v>3.8720499999999998</v>
      </c>
      <c r="Q677" s="13">
        <f t="shared" si="51"/>
        <v>15.488199999999999</v>
      </c>
      <c r="R677" t="str">
        <f t="shared" si="53"/>
        <v>Liberica</v>
      </c>
      <c r="S677" t="str">
        <f t="shared" si="54"/>
        <v>Dark</v>
      </c>
      <c r="T677" t="str">
        <f>_xlfn.XLOOKUP(Orders[[#This Row],[Customer ID]],customers!$A$1:$A$1001,customers!$I$1:$I$1001,,0)</f>
        <v>Yes</v>
      </c>
    </row>
    <row r="678" spans="1:20" x14ac:dyDescent="0.35">
      <c r="A678" s="2" t="s">
        <v>4308</v>
      </c>
      <c r="B678" s="3">
        <v>44217</v>
      </c>
      <c r="C678" s="2" t="s">
        <v>4309</v>
      </c>
      <c r="D678" t="s">
        <v>6161</v>
      </c>
      <c r="E678" t="str">
        <f t="shared" si="52"/>
        <v>Liberica-Light-0.5</v>
      </c>
      <c r="F678" s="2">
        <v>5</v>
      </c>
      <c r="G678" s="2" t="str" cm="1">
        <f t="array" ref="G678">_xlfn.XLOOKUP(C678, customers!$A$1:A1677,customers!$B$1:B1677,,0)</f>
        <v>Gabey Cogan</v>
      </c>
      <c r="H678" s="2" t="str" cm="1">
        <f t="array" ref="H678">IF(_xlfn.XLOOKUP(C678,customers!$A$1:A1677,customers!$C$1:C1677,,0) = 0,"", _xlfn.XLOOKUP(C678,customers!$A$1:A1677,customers!$C$1:C1677,,0))</f>
        <v/>
      </c>
      <c r="I678" s="2" t="str">
        <f>_xlfn.XLOOKUP(C678,customers!$A$1:$A$1001,customers!$G$1:$G$1001,,0)</f>
        <v>United States</v>
      </c>
      <c r="J678" s="2" t="str">
        <f>_xlfn.XLOOKUP(Orders[[#This Row],[Customer ID]],customers!$A$1:$A$1001,customers!$F$1:$F$1001,,0)</f>
        <v>Hampton</v>
      </c>
      <c r="K678" t="str">
        <f>INDEX(products!$A$1:$G$49,MATCH(orders!$D678,products!$A$1:$A$49,0),MATCH(orders!K$1,products!$A$1:$G$1,0))</f>
        <v>Lib</v>
      </c>
      <c r="L678" t="str">
        <f>INDEX(products!$A$1:$G$49,MATCH(orders!$D678,products!$A$1:$A$49,0),MATCH(orders!L$1,products!$A$1:$G$1,0))</f>
        <v>L</v>
      </c>
      <c r="M678" s="14">
        <f>INDEX(products!$A$1:$G$49,MATCH(orders!$D678,products!$A$1:$A$49,0),MATCH(orders!M$1,products!$A$1:$G$1,0))</f>
        <v>0.5</v>
      </c>
      <c r="N678" s="4">
        <f>INDEX(products!$A$1:$G$49,MATCH(orders!$D678,products!$A$1:$A$49,0),MATCH(orders!N$1,products!$A$1:$G$1,0))</f>
        <v>9.51</v>
      </c>
      <c r="O678" s="13">
        <f t="shared" si="50"/>
        <v>47.55</v>
      </c>
      <c r="P678" s="13">
        <f>_xlfn.XLOOKUP(Orders[[#This Row],[Product ID]],products!$A$1:$A$49,products!$G$1:$G$49,,0)</f>
        <v>1.2363</v>
      </c>
      <c r="Q678" s="13">
        <f t="shared" si="51"/>
        <v>6.1814999999999998</v>
      </c>
      <c r="R678" t="str">
        <f t="shared" si="53"/>
        <v>Liberica</v>
      </c>
      <c r="S678" t="str">
        <f t="shared" si="54"/>
        <v>Light</v>
      </c>
      <c r="T678" t="str">
        <f>_xlfn.XLOOKUP(Orders[[#This Row],[Customer ID]],customers!$A$1:$A$1001,customers!$I$1:$I$1001,,0)</f>
        <v>No</v>
      </c>
    </row>
    <row r="679" spans="1:20" x14ac:dyDescent="0.35">
      <c r="A679" s="2" t="s">
        <v>4313</v>
      </c>
      <c r="B679" s="3">
        <v>44206</v>
      </c>
      <c r="C679" s="2" t="s">
        <v>4314</v>
      </c>
      <c r="D679" t="s">
        <v>6160</v>
      </c>
      <c r="E679" t="str">
        <f t="shared" si="52"/>
        <v>Liberica-Medium-0.5</v>
      </c>
      <c r="F679" s="2">
        <v>5</v>
      </c>
      <c r="G679" s="2" t="str" cm="1">
        <f t="array" ref="G679">_xlfn.XLOOKUP(C679, customers!$A$1:A1678,customers!$B$1:B1678,,0)</f>
        <v>Charin Penwarden</v>
      </c>
      <c r="H679" s="2" t="str" cm="1">
        <f t="array" ref="H679">IF(_xlfn.XLOOKUP(C679,customers!$A$1:A1678,customers!$C$1:C1678,,0) = 0,"", _xlfn.XLOOKUP(C679,customers!$A$1:A1678,customers!$C$1:C1678,,0))</f>
        <v>cpenwardenit@mlb.com</v>
      </c>
      <c r="I679" s="2" t="str">
        <f>_xlfn.XLOOKUP(C679,customers!$A$1:$A$1001,customers!$G$1:$G$1001,,0)</f>
        <v>Ireland</v>
      </c>
      <c r="J679" s="2" t="str">
        <f>_xlfn.XLOOKUP(Orders[[#This Row],[Customer ID]],customers!$A$1:$A$1001,customers!$F$1:$F$1001,,0)</f>
        <v>Whitegate</v>
      </c>
      <c r="K679" t="str">
        <f>INDEX(products!$A$1:$G$49,MATCH(orders!$D679,products!$A$1:$A$49,0),MATCH(orders!K$1,products!$A$1:$G$1,0))</f>
        <v>Lib</v>
      </c>
      <c r="L679" t="str">
        <f>INDEX(products!$A$1:$G$49,MATCH(orders!$D679,products!$A$1:$A$49,0),MATCH(orders!L$1,products!$A$1:$G$1,0))</f>
        <v>M</v>
      </c>
      <c r="M679" s="14">
        <f>INDEX(products!$A$1:$G$49,MATCH(orders!$D679,products!$A$1:$A$49,0),MATCH(orders!M$1,products!$A$1:$G$1,0))</f>
        <v>0.5</v>
      </c>
      <c r="N679" s="4">
        <f>INDEX(products!$A$1:$G$49,MATCH(orders!$D679,products!$A$1:$A$49,0),MATCH(orders!N$1,products!$A$1:$G$1,0))</f>
        <v>8.73</v>
      </c>
      <c r="O679" s="13">
        <f t="shared" si="50"/>
        <v>43.650000000000006</v>
      </c>
      <c r="P679" s="13">
        <f>_xlfn.XLOOKUP(Orders[[#This Row],[Product ID]],products!$A$1:$A$49,products!$G$1:$G$49,,0)</f>
        <v>1.1349</v>
      </c>
      <c r="Q679" s="13">
        <f t="shared" si="51"/>
        <v>5.6745000000000001</v>
      </c>
      <c r="R679" t="str">
        <f t="shared" si="53"/>
        <v>Liberica</v>
      </c>
      <c r="S679" t="str">
        <f t="shared" si="54"/>
        <v>Medium</v>
      </c>
      <c r="T679" t="str">
        <f>_xlfn.XLOOKUP(Orders[[#This Row],[Customer ID]],customers!$A$1:$A$1001,customers!$I$1:$I$1001,,0)</f>
        <v>No</v>
      </c>
    </row>
    <row r="680" spans="1:20" x14ac:dyDescent="0.35">
      <c r="A680" s="2" t="s">
        <v>4319</v>
      </c>
      <c r="B680" s="3">
        <v>44281</v>
      </c>
      <c r="C680" s="2" t="s">
        <v>4320</v>
      </c>
      <c r="D680" t="s">
        <v>6182</v>
      </c>
      <c r="E680" t="str">
        <f t="shared" si="52"/>
        <v>Arabica-Light-2.5</v>
      </c>
      <c r="F680" s="2">
        <v>6</v>
      </c>
      <c r="G680" s="2" t="str" cm="1">
        <f t="array" ref="G680">_xlfn.XLOOKUP(C680, customers!$A$1:A1679,customers!$B$1:B1679,,0)</f>
        <v>Milty Middis</v>
      </c>
      <c r="H680" s="2" t="str" cm="1">
        <f t="array" ref="H680">IF(_xlfn.XLOOKUP(C680,customers!$A$1:A1679,customers!$C$1:C1679,,0) = 0,"", _xlfn.XLOOKUP(C680,customers!$A$1:A1679,customers!$C$1:C1679,,0))</f>
        <v>mmiddisiu@dmoz.org</v>
      </c>
      <c r="I680" s="2" t="str">
        <f>_xlfn.XLOOKUP(C680,customers!$A$1:$A$1001,customers!$G$1:$G$1001,,0)</f>
        <v>United States</v>
      </c>
      <c r="J680" s="2" t="str">
        <f>_xlfn.XLOOKUP(Orders[[#This Row],[Customer ID]],customers!$A$1:$A$1001,customers!$F$1:$F$1001,,0)</f>
        <v>Wichita</v>
      </c>
      <c r="K680" t="str">
        <f>INDEX(products!$A$1:$G$49,MATCH(orders!$D680,products!$A$1:$A$49,0),MATCH(orders!K$1,products!$A$1:$G$1,0))</f>
        <v>Ara</v>
      </c>
      <c r="L680" t="str">
        <f>INDEX(products!$A$1:$G$49,MATCH(orders!$D680,products!$A$1:$A$49,0),MATCH(orders!L$1,products!$A$1:$G$1,0))</f>
        <v>L</v>
      </c>
      <c r="M680" s="14">
        <f>INDEX(products!$A$1:$G$49,MATCH(orders!$D680,products!$A$1:$A$49,0),MATCH(orders!M$1,products!$A$1:$G$1,0))</f>
        <v>2.5</v>
      </c>
      <c r="N680" s="4">
        <f>INDEX(products!$A$1:$G$49,MATCH(orders!$D680,products!$A$1:$A$49,0),MATCH(orders!N$1,products!$A$1:$G$1,0))</f>
        <v>29.784999999999997</v>
      </c>
      <c r="O680" s="13">
        <f t="shared" si="50"/>
        <v>178.70999999999998</v>
      </c>
      <c r="P680" s="13">
        <f>_xlfn.XLOOKUP(Orders[[#This Row],[Product ID]],products!$A$1:$A$49,products!$G$1:$G$49,,0)</f>
        <v>2.6806499999999995</v>
      </c>
      <c r="Q680" s="13">
        <f t="shared" si="51"/>
        <v>16.083899999999996</v>
      </c>
      <c r="R680" t="str">
        <f t="shared" si="53"/>
        <v>Arabica</v>
      </c>
      <c r="S680" t="str">
        <f t="shared" si="54"/>
        <v>Light</v>
      </c>
      <c r="T680" t="str">
        <f>_xlfn.XLOOKUP(Orders[[#This Row],[Customer ID]],customers!$A$1:$A$1001,customers!$I$1:$I$1001,,0)</f>
        <v>Yes</v>
      </c>
    </row>
    <row r="681" spans="1:20" x14ac:dyDescent="0.35">
      <c r="A681" s="2" t="s">
        <v>4325</v>
      </c>
      <c r="B681" s="3">
        <v>44645</v>
      </c>
      <c r="C681" s="2" t="s">
        <v>4326</v>
      </c>
      <c r="D681" t="s">
        <v>6142</v>
      </c>
      <c r="E681" t="str">
        <f t="shared" si="52"/>
        <v>Robusta-Light-2.5</v>
      </c>
      <c r="F681" s="2">
        <v>1</v>
      </c>
      <c r="G681" s="2" t="str" cm="1">
        <f t="array" ref="G681">_xlfn.XLOOKUP(C681, customers!$A$1:A1680,customers!$B$1:B1680,,0)</f>
        <v>Adrianne Vairow</v>
      </c>
      <c r="H681" s="2" t="str" cm="1">
        <f t="array" ref="H681">IF(_xlfn.XLOOKUP(C681,customers!$A$1:A1680,customers!$C$1:C1680,,0) = 0,"", _xlfn.XLOOKUP(C681,customers!$A$1:A1680,customers!$C$1:C1680,,0))</f>
        <v>avairowiv@studiopress.com</v>
      </c>
      <c r="I681" s="2" t="str">
        <f>_xlfn.XLOOKUP(C681,customers!$A$1:$A$1001,customers!$G$1:$G$1001,,0)</f>
        <v>United Kingdom</v>
      </c>
      <c r="J681" s="2" t="str">
        <f>_xlfn.XLOOKUP(Orders[[#This Row],[Customer ID]],customers!$A$1:$A$1001,customers!$F$1:$F$1001,,0)</f>
        <v>Thorpe</v>
      </c>
      <c r="K681" t="str">
        <f>INDEX(products!$A$1:$G$49,MATCH(orders!$D681,products!$A$1:$A$49,0),MATCH(orders!K$1,products!$A$1:$G$1,0))</f>
        <v>Rob</v>
      </c>
      <c r="L681" t="str">
        <f>INDEX(products!$A$1:$G$49,MATCH(orders!$D681,products!$A$1:$A$49,0),MATCH(orders!L$1,products!$A$1:$G$1,0))</f>
        <v>L</v>
      </c>
      <c r="M681" s="14">
        <f>INDEX(products!$A$1:$G$49,MATCH(orders!$D681,products!$A$1:$A$49,0),MATCH(orders!M$1,products!$A$1:$G$1,0))</f>
        <v>2.5</v>
      </c>
      <c r="N681" s="4">
        <f>INDEX(products!$A$1:$G$49,MATCH(orders!$D681,products!$A$1:$A$49,0),MATCH(orders!N$1,products!$A$1:$G$1,0))</f>
        <v>27.484999999999996</v>
      </c>
      <c r="O681" s="13">
        <f t="shared" si="50"/>
        <v>27.484999999999996</v>
      </c>
      <c r="P681" s="13">
        <f>_xlfn.XLOOKUP(Orders[[#This Row],[Product ID]],products!$A$1:$A$49,products!$G$1:$G$49,,0)</f>
        <v>1.6490999999999998</v>
      </c>
      <c r="Q681" s="13">
        <f t="shared" si="51"/>
        <v>1.6490999999999998</v>
      </c>
      <c r="R681" t="str">
        <f t="shared" si="53"/>
        <v>Robusta</v>
      </c>
      <c r="S681" t="str">
        <f t="shared" si="54"/>
        <v>Light</v>
      </c>
      <c r="T681" t="str">
        <f>_xlfn.XLOOKUP(Orders[[#This Row],[Customer ID]],customers!$A$1:$A$1001,customers!$I$1:$I$1001,,0)</f>
        <v>No</v>
      </c>
    </row>
    <row r="682" spans="1:20" x14ac:dyDescent="0.35">
      <c r="A682" s="2" t="s">
        <v>4331</v>
      </c>
      <c r="B682" s="3">
        <v>44399</v>
      </c>
      <c r="C682" s="2" t="s">
        <v>4332</v>
      </c>
      <c r="D682" t="s">
        <v>6155</v>
      </c>
      <c r="E682" t="str">
        <f t="shared" si="52"/>
        <v>Arabica-Medium-1</v>
      </c>
      <c r="F682" s="2">
        <v>5</v>
      </c>
      <c r="G682" s="2" t="str" cm="1">
        <f t="array" ref="G682">_xlfn.XLOOKUP(C682, customers!$A$1:A1681,customers!$B$1:B1681,,0)</f>
        <v>Anjanette Goldie</v>
      </c>
      <c r="H682" s="2" t="str" cm="1">
        <f t="array" ref="H682">IF(_xlfn.XLOOKUP(C682,customers!$A$1:A1681,customers!$C$1:C1681,,0) = 0,"", _xlfn.XLOOKUP(C682,customers!$A$1:A1681,customers!$C$1:C1681,,0))</f>
        <v>agoldieiw@goo.gl</v>
      </c>
      <c r="I682" s="2" t="str">
        <f>_xlfn.XLOOKUP(C682,customers!$A$1:$A$1001,customers!$G$1:$G$1001,,0)</f>
        <v>United States</v>
      </c>
      <c r="J682" s="2" t="str">
        <f>_xlfn.XLOOKUP(Orders[[#This Row],[Customer ID]],customers!$A$1:$A$1001,customers!$F$1:$F$1001,,0)</f>
        <v>Danbury</v>
      </c>
      <c r="K682" t="str">
        <f>INDEX(products!$A$1:$G$49,MATCH(orders!$D682,products!$A$1:$A$49,0),MATCH(orders!K$1,products!$A$1:$G$1,0))</f>
        <v>Ara</v>
      </c>
      <c r="L682" t="str">
        <f>INDEX(products!$A$1:$G$49,MATCH(orders!$D682,products!$A$1:$A$49,0),MATCH(orders!L$1,products!$A$1:$G$1,0))</f>
        <v>M</v>
      </c>
      <c r="M682" s="14">
        <f>INDEX(products!$A$1:$G$49,MATCH(orders!$D682,products!$A$1:$A$49,0),MATCH(orders!M$1,products!$A$1:$G$1,0))</f>
        <v>1</v>
      </c>
      <c r="N682" s="4">
        <f>INDEX(products!$A$1:$G$49,MATCH(orders!$D682,products!$A$1:$A$49,0),MATCH(orders!N$1,products!$A$1:$G$1,0))</f>
        <v>11.25</v>
      </c>
      <c r="O682" s="13">
        <f t="shared" si="50"/>
        <v>56.25</v>
      </c>
      <c r="P682" s="13">
        <f>_xlfn.XLOOKUP(Orders[[#This Row],[Product ID]],products!$A$1:$A$49,products!$G$1:$G$49,,0)</f>
        <v>1.0125</v>
      </c>
      <c r="Q682" s="13">
        <f t="shared" si="51"/>
        <v>5.0625</v>
      </c>
      <c r="R682" t="str">
        <f t="shared" si="53"/>
        <v>Arabica</v>
      </c>
      <c r="S682" t="str">
        <f t="shared" si="54"/>
        <v>Medium</v>
      </c>
      <c r="T682" t="str">
        <f>_xlfn.XLOOKUP(Orders[[#This Row],[Customer ID]],customers!$A$1:$A$1001,customers!$I$1:$I$1001,,0)</f>
        <v>No</v>
      </c>
    </row>
    <row r="683" spans="1:20" x14ac:dyDescent="0.35">
      <c r="A683" s="2" t="s">
        <v>4336</v>
      </c>
      <c r="B683" s="3">
        <v>44080</v>
      </c>
      <c r="C683" s="2" t="s">
        <v>4337</v>
      </c>
      <c r="D683" t="s">
        <v>6145</v>
      </c>
      <c r="E683" t="str">
        <f t="shared" si="52"/>
        <v>Liberica-Light-0.2</v>
      </c>
      <c r="F683" s="2">
        <v>2</v>
      </c>
      <c r="G683" s="2" t="str" cm="1">
        <f t="array" ref="G683">_xlfn.XLOOKUP(C683, customers!$A$1:A1682,customers!$B$1:B1682,,0)</f>
        <v>Nicky Ayris</v>
      </c>
      <c r="H683" s="2" t="str" cm="1">
        <f t="array" ref="H683">IF(_xlfn.XLOOKUP(C683,customers!$A$1:A1682,customers!$C$1:C1682,,0) = 0,"", _xlfn.XLOOKUP(C683,customers!$A$1:A1682,customers!$C$1:C1682,,0))</f>
        <v>nayrisix@t-online.de</v>
      </c>
      <c r="I683" s="2" t="str">
        <f>_xlfn.XLOOKUP(C683,customers!$A$1:$A$1001,customers!$G$1:$G$1001,,0)</f>
        <v>United Kingdom</v>
      </c>
      <c r="J683" s="2" t="str">
        <f>_xlfn.XLOOKUP(Orders[[#This Row],[Customer ID]],customers!$A$1:$A$1001,customers!$F$1:$F$1001,,0)</f>
        <v>Kinloch</v>
      </c>
      <c r="K683" t="str">
        <f>INDEX(products!$A$1:$G$49,MATCH(orders!$D683,products!$A$1:$A$49,0),MATCH(orders!K$1,products!$A$1:$G$1,0))</f>
        <v>Lib</v>
      </c>
      <c r="L683" t="str">
        <f>INDEX(products!$A$1:$G$49,MATCH(orders!$D683,products!$A$1:$A$49,0),MATCH(orders!L$1,products!$A$1:$G$1,0))</f>
        <v>L</v>
      </c>
      <c r="M683" s="14">
        <f>INDEX(products!$A$1:$G$49,MATCH(orders!$D683,products!$A$1:$A$49,0),MATCH(orders!M$1,products!$A$1:$G$1,0))</f>
        <v>0.2</v>
      </c>
      <c r="N683" s="4">
        <f>INDEX(products!$A$1:$G$49,MATCH(orders!$D683,products!$A$1:$A$49,0),MATCH(orders!N$1,products!$A$1:$G$1,0))</f>
        <v>4.7549999999999999</v>
      </c>
      <c r="O683" s="13">
        <f t="shared" si="50"/>
        <v>9.51</v>
      </c>
      <c r="P683" s="13">
        <f>_xlfn.XLOOKUP(Orders[[#This Row],[Product ID]],products!$A$1:$A$49,products!$G$1:$G$49,,0)</f>
        <v>0.61814999999999998</v>
      </c>
      <c r="Q683" s="13">
        <f t="shared" si="51"/>
        <v>1.2363</v>
      </c>
      <c r="R683" t="str">
        <f t="shared" si="53"/>
        <v>Liberica</v>
      </c>
      <c r="S683" t="str">
        <f t="shared" si="54"/>
        <v>Light</v>
      </c>
      <c r="T683" t="str">
        <f>_xlfn.XLOOKUP(Orders[[#This Row],[Customer ID]],customers!$A$1:$A$1001,customers!$I$1:$I$1001,,0)</f>
        <v>Yes</v>
      </c>
    </row>
    <row r="684" spans="1:20" x14ac:dyDescent="0.35">
      <c r="A684" s="2" t="s">
        <v>4342</v>
      </c>
      <c r="B684" s="3">
        <v>43827</v>
      </c>
      <c r="C684" s="2" t="s">
        <v>4343</v>
      </c>
      <c r="D684" t="s">
        <v>6156</v>
      </c>
      <c r="E684" t="str">
        <f t="shared" si="52"/>
        <v>Excelsa-Medium-0.2</v>
      </c>
      <c r="F684" s="2">
        <v>2</v>
      </c>
      <c r="G684" s="2" t="str" cm="1">
        <f t="array" ref="G684">_xlfn.XLOOKUP(C684, customers!$A$1:A1683,customers!$B$1:B1683,,0)</f>
        <v>Laryssa Benediktovich</v>
      </c>
      <c r="H684" s="2" t="str" cm="1">
        <f t="array" ref="H684">IF(_xlfn.XLOOKUP(C684,customers!$A$1:A1683,customers!$C$1:C1683,,0) = 0,"", _xlfn.XLOOKUP(C684,customers!$A$1:A1683,customers!$C$1:C1683,,0))</f>
        <v>lbenediktovichiy@wunderground.com</v>
      </c>
      <c r="I684" s="2" t="str">
        <f>_xlfn.XLOOKUP(C684,customers!$A$1:$A$1001,customers!$G$1:$G$1001,,0)</f>
        <v>United States</v>
      </c>
      <c r="J684" s="2" t="str">
        <f>_xlfn.XLOOKUP(Orders[[#This Row],[Customer ID]],customers!$A$1:$A$1001,customers!$F$1:$F$1001,,0)</f>
        <v>Jacksonville</v>
      </c>
      <c r="K684" t="str">
        <f>INDEX(products!$A$1:$G$49,MATCH(orders!$D684,products!$A$1:$A$49,0),MATCH(orders!K$1,products!$A$1:$G$1,0))</f>
        <v>Exc</v>
      </c>
      <c r="L684" t="str">
        <f>INDEX(products!$A$1:$G$49,MATCH(orders!$D684,products!$A$1:$A$49,0),MATCH(orders!L$1,products!$A$1:$G$1,0))</f>
        <v>M</v>
      </c>
      <c r="M684" s="14">
        <f>INDEX(products!$A$1:$G$49,MATCH(orders!$D684,products!$A$1:$A$49,0),MATCH(orders!M$1,products!$A$1:$G$1,0))</f>
        <v>0.2</v>
      </c>
      <c r="N684" s="4">
        <f>INDEX(products!$A$1:$G$49,MATCH(orders!$D684,products!$A$1:$A$49,0),MATCH(orders!N$1,products!$A$1:$G$1,0))</f>
        <v>4.125</v>
      </c>
      <c r="O684" s="13">
        <f t="shared" si="50"/>
        <v>8.25</v>
      </c>
      <c r="P684" s="13">
        <f>_xlfn.XLOOKUP(Orders[[#This Row],[Product ID]],products!$A$1:$A$49,products!$G$1:$G$49,,0)</f>
        <v>0.45374999999999999</v>
      </c>
      <c r="Q684" s="13">
        <f t="shared" si="51"/>
        <v>0.90749999999999997</v>
      </c>
      <c r="R684" t="str">
        <f t="shared" si="53"/>
        <v>Execelsa</v>
      </c>
      <c r="S684" t="str">
        <f t="shared" si="54"/>
        <v>Medium</v>
      </c>
      <c r="T684" t="str">
        <f>_xlfn.XLOOKUP(Orders[[#This Row],[Customer ID]],customers!$A$1:$A$1001,customers!$I$1:$I$1001,,0)</f>
        <v>Yes</v>
      </c>
    </row>
    <row r="685" spans="1:20" x14ac:dyDescent="0.35">
      <c r="A685" s="2" t="s">
        <v>4348</v>
      </c>
      <c r="B685" s="3">
        <v>43941</v>
      </c>
      <c r="C685" s="2" t="s">
        <v>4349</v>
      </c>
      <c r="D685" t="s">
        <v>6169</v>
      </c>
      <c r="E685" t="str">
        <f t="shared" si="52"/>
        <v>Liberica-Dark-0.5</v>
      </c>
      <c r="F685" s="2">
        <v>6</v>
      </c>
      <c r="G685" s="2" t="str" cm="1">
        <f t="array" ref="G685">_xlfn.XLOOKUP(C685, customers!$A$1:A1684,customers!$B$1:B1684,,0)</f>
        <v>Theo Jacobovitz</v>
      </c>
      <c r="H685" s="2" t="str" cm="1">
        <f t="array" ref="H685">IF(_xlfn.XLOOKUP(C685,customers!$A$1:A1684,customers!$C$1:C1684,,0) = 0,"", _xlfn.XLOOKUP(C685,customers!$A$1:A1684,customers!$C$1:C1684,,0))</f>
        <v>tjacobovitziz@cbc.ca</v>
      </c>
      <c r="I685" s="2" t="str">
        <f>_xlfn.XLOOKUP(C685,customers!$A$1:$A$1001,customers!$G$1:$G$1001,,0)</f>
        <v>United States</v>
      </c>
      <c r="J685" s="2" t="str">
        <f>_xlfn.XLOOKUP(Orders[[#This Row],[Customer ID]],customers!$A$1:$A$1001,customers!$F$1:$F$1001,,0)</f>
        <v>Houston</v>
      </c>
      <c r="K685" t="str">
        <f>INDEX(products!$A$1:$G$49,MATCH(orders!$D685,products!$A$1:$A$49,0),MATCH(orders!K$1,products!$A$1:$G$1,0))</f>
        <v>Lib</v>
      </c>
      <c r="L685" t="str">
        <f>INDEX(products!$A$1:$G$49,MATCH(orders!$D685,products!$A$1:$A$49,0),MATCH(orders!L$1,products!$A$1:$G$1,0))</f>
        <v>D</v>
      </c>
      <c r="M685" s="14">
        <f>INDEX(products!$A$1:$G$49,MATCH(orders!$D685,products!$A$1:$A$49,0),MATCH(orders!M$1,products!$A$1:$G$1,0))</f>
        <v>0.5</v>
      </c>
      <c r="N685" s="4">
        <f>INDEX(products!$A$1:$G$49,MATCH(orders!$D685,products!$A$1:$A$49,0),MATCH(orders!N$1,products!$A$1:$G$1,0))</f>
        <v>7.77</v>
      </c>
      <c r="O685" s="13">
        <f t="shared" si="50"/>
        <v>46.62</v>
      </c>
      <c r="P685" s="13">
        <f>_xlfn.XLOOKUP(Orders[[#This Row],[Product ID]],products!$A$1:$A$49,products!$G$1:$G$49,,0)</f>
        <v>1.0101</v>
      </c>
      <c r="Q685" s="13">
        <f t="shared" si="51"/>
        <v>6.0606</v>
      </c>
      <c r="R685" t="str">
        <f t="shared" si="53"/>
        <v>Liberica</v>
      </c>
      <c r="S685" t="str">
        <f t="shared" si="54"/>
        <v>Dark</v>
      </c>
      <c r="T685" t="str">
        <f>_xlfn.XLOOKUP(Orders[[#This Row],[Customer ID]],customers!$A$1:$A$1001,customers!$I$1:$I$1001,,0)</f>
        <v>No</v>
      </c>
    </row>
    <row r="686" spans="1:20" x14ac:dyDescent="0.35">
      <c r="A686" s="2" t="s">
        <v>4354</v>
      </c>
      <c r="B686" s="3">
        <v>43517</v>
      </c>
      <c r="C686" s="2" t="s">
        <v>4355</v>
      </c>
      <c r="D686" t="s">
        <v>6179</v>
      </c>
      <c r="E686" t="str">
        <f t="shared" si="52"/>
        <v>Robusta-Light-1</v>
      </c>
      <c r="F686" s="2">
        <v>6</v>
      </c>
      <c r="G686" s="2" t="str" cm="1">
        <f t="array" ref="G686">_xlfn.XLOOKUP(C686, customers!$A$1:A1685,customers!$B$1:B1685,,0)</f>
        <v>Becca Ableson</v>
      </c>
      <c r="H686" s="2" t="str" cm="1">
        <f t="array" ref="H686">IF(_xlfn.XLOOKUP(C686,customers!$A$1:A1685,customers!$C$1:C1685,,0) = 0,"", _xlfn.XLOOKUP(C686,customers!$A$1:A1685,customers!$C$1:C1685,,0))</f>
        <v/>
      </c>
      <c r="I686" s="2" t="str">
        <f>_xlfn.XLOOKUP(C686,customers!$A$1:$A$1001,customers!$G$1:$G$1001,,0)</f>
        <v>United States</v>
      </c>
      <c r="J686" s="2" t="str">
        <f>_xlfn.XLOOKUP(Orders[[#This Row],[Customer ID]],customers!$A$1:$A$1001,customers!$F$1:$F$1001,,0)</f>
        <v>Portland</v>
      </c>
      <c r="K686" t="str">
        <f>INDEX(products!$A$1:$G$49,MATCH(orders!$D686,products!$A$1:$A$49,0),MATCH(orders!K$1,products!$A$1:$G$1,0))</f>
        <v>Rob</v>
      </c>
      <c r="L686" t="str">
        <f>INDEX(products!$A$1:$G$49,MATCH(orders!$D686,products!$A$1:$A$49,0),MATCH(orders!L$1,products!$A$1:$G$1,0))</f>
        <v>L</v>
      </c>
      <c r="M686" s="14">
        <f>INDEX(products!$A$1:$G$49,MATCH(orders!$D686,products!$A$1:$A$49,0),MATCH(orders!M$1,products!$A$1:$G$1,0))</f>
        <v>1</v>
      </c>
      <c r="N686" s="4">
        <f>INDEX(products!$A$1:$G$49,MATCH(orders!$D686,products!$A$1:$A$49,0),MATCH(orders!N$1,products!$A$1:$G$1,0))</f>
        <v>11.95</v>
      </c>
      <c r="O686" s="13">
        <f t="shared" si="50"/>
        <v>71.699999999999989</v>
      </c>
      <c r="P686" s="13">
        <f>_xlfn.XLOOKUP(Orders[[#This Row],[Product ID]],products!$A$1:$A$49,products!$G$1:$G$49,,0)</f>
        <v>0.71699999999999997</v>
      </c>
      <c r="Q686" s="13">
        <f t="shared" si="51"/>
        <v>4.3019999999999996</v>
      </c>
      <c r="R686" t="str">
        <f t="shared" si="53"/>
        <v>Robusta</v>
      </c>
      <c r="S686" t="str">
        <f t="shared" si="54"/>
        <v>Light</v>
      </c>
      <c r="T686" t="str">
        <f>_xlfn.XLOOKUP(Orders[[#This Row],[Customer ID]],customers!$A$1:$A$1001,customers!$I$1:$I$1001,,0)</f>
        <v>No</v>
      </c>
    </row>
    <row r="687" spans="1:20" x14ac:dyDescent="0.35">
      <c r="A687" s="2" t="s">
        <v>4359</v>
      </c>
      <c r="B687" s="3">
        <v>44637</v>
      </c>
      <c r="C687" s="2" t="s">
        <v>4360</v>
      </c>
      <c r="D687" t="s">
        <v>6164</v>
      </c>
      <c r="E687" t="str">
        <f t="shared" si="52"/>
        <v>Liberica-Light-2.5</v>
      </c>
      <c r="F687" s="2">
        <v>2</v>
      </c>
      <c r="G687" s="2" t="str" cm="1">
        <f t="array" ref="G687">_xlfn.XLOOKUP(C687, customers!$A$1:A1686,customers!$B$1:B1686,,0)</f>
        <v>Jeno Druitt</v>
      </c>
      <c r="H687" s="2" t="str" cm="1">
        <f t="array" ref="H687">IF(_xlfn.XLOOKUP(C687,customers!$A$1:A1686,customers!$C$1:C1686,,0) = 0,"", _xlfn.XLOOKUP(C687,customers!$A$1:A1686,customers!$C$1:C1686,,0))</f>
        <v>jdruittj1@feedburner.com</v>
      </c>
      <c r="I687" s="2" t="str">
        <f>_xlfn.XLOOKUP(C687,customers!$A$1:$A$1001,customers!$G$1:$G$1001,,0)</f>
        <v>United States</v>
      </c>
      <c r="J687" s="2" t="str">
        <f>_xlfn.XLOOKUP(Orders[[#This Row],[Customer ID]],customers!$A$1:$A$1001,customers!$F$1:$F$1001,,0)</f>
        <v>Pasadena</v>
      </c>
      <c r="K687" t="str">
        <f>INDEX(products!$A$1:$G$49,MATCH(orders!$D687,products!$A$1:$A$49,0),MATCH(orders!K$1,products!$A$1:$G$1,0))</f>
        <v>Lib</v>
      </c>
      <c r="L687" t="str">
        <f>INDEX(products!$A$1:$G$49,MATCH(orders!$D687,products!$A$1:$A$49,0),MATCH(orders!L$1,products!$A$1:$G$1,0))</f>
        <v>L</v>
      </c>
      <c r="M687" s="14">
        <f>INDEX(products!$A$1:$G$49,MATCH(orders!$D687,products!$A$1:$A$49,0),MATCH(orders!M$1,products!$A$1:$G$1,0))</f>
        <v>2.5</v>
      </c>
      <c r="N687" s="4">
        <f>INDEX(products!$A$1:$G$49,MATCH(orders!$D687,products!$A$1:$A$49,0),MATCH(orders!N$1,products!$A$1:$G$1,0))</f>
        <v>36.454999999999998</v>
      </c>
      <c r="O687" s="13">
        <f t="shared" si="50"/>
        <v>72.91</v>
      </c>
      <c r="P687" s="13">
        <f>_xlfn.XLOOKUP(Orders[[#This Row],[Product ID]],products!$A$1:$A$49,products!$G$1:$G$49,,0)</f>
        <v>4.7391499999999995</v>
      </c>
      <c r="Q687" s="13">
        <f t="shared" si="51"/>
        <v>9.4782999999999991</v>
      </c>
      <c r="R687" t="str">
        <f t="shared" si="53"/>
        <v>Liberica</v>
      </c>
      <c r="S687" t="str">
        <f t="shared" si="54"/>
        <v>Light</v>
      </c>
      <c r="T687" t="str">
        <f>_xlfn.XLOOKUP(Orders[[#This Row],[Customer ID]],customers!$A$1:$A$1001,customers!$I$1:$I$1001,,0)</f>
        <v>Yes</v>
      </c>
    </row>
    <row r="688" spans="1:20" x14ac:dyDescent="0.35">
      <c r="A688" s="2" t="s">
        <v>4365</v>
      </c>
      <c r="B688" s="3">
        <v>44330</v>
      </c>
      <c r="C688" s="2" t="s">
        <v>4366</v>
      </c>
      <c r="D688" t="s">
        <v>6163</v>
      </c>
      <c r="E688" t="str">
        <f t="shared" si="52"/>
        <v>Robusta-Dark-0.2</v>
      </c>
      <c r="F688" s="2">
        <v>3</v>
      </c>
      <c r="G688" s="2" t="str" cm="1">
        <f t="array" ref="G688">_xlfn.XLOOKUP(C688, customers!$A$1:A1687,customers!$B$1:B1687,,0)</f>
        <v>Deonne Shortall</v>
      </c>
      <c r="H688" s="2" t="str" cm="1">
        <f t="array" ref="H688">IF(_xlfn.XLOOKUP(C688,customers!$A$1:A1687,customers!$C$1:C1687,,0) = 0,"", _xlfn.XLOOKUP(C688,customers!$A$1:A1687,customers!$C$1:C1687,,0))</f>
        <v>dshortallj2@wikipedia.org</v>
      </c>
      <c r="I688" s="2" t="str">
        <f>_xlfn.XLOOKUP(C688,customers!$A$1:$A$1001,customers!$G$1:$G$1001,,0)</f>
        <v>United States</v>
      </c>
      <c r="J688" s="2" t="str">
        <f>_xlfn.XLOOKUP(Orders[[#This Row],[Customer ID]],customers!$A$1:$A$1001,customers!$F$1:$F$1001,,0)</f>
        <v>Santa Ana</v>
      </c>
      <c r="K688" t="str">
        <f>INDEX(products!$A$1:$G$49,MATCH(orders!$D688,products!$A$1:$A$49,0),MATCH(orders!K$1,products!$A$1:$G$1,0))</f>
        <v>Rob</v>
      </c>
      <c r="L688" t="str">
        <f>INDEX(products!$A$1:$G$49,MATCH(orders!$D688,products!$A$1:$A$49,0),MATCH(orders!L$1,products!$A$1:$G$1,0))</f>
        <v>D</v>
      </c>
      <c r="M688" s="14">
        <f>INDEX(products!$A$1:$G$49,MATCH(orders!$D688,products!$A$1:$A$49,0),MATCH(orders!M$1,products!$A$1:$G$1,0))</f>
        <v>0.2</v>
      </c>
      <c r="N688" s="4">
        <f>INDEX(products!$A$1:$G$49,MATCH(orders!$D688,products!$A$1:$A$49,0),MATCH(orders!N$1,products!$A$1:$G$1,0))</f>
        <v>2.6849999999999996</v>
      </c>
      <c r="O688" s="13">
        <f t="shared" si="50"/>
        <v>8.0549999999999997</v>
      </c>
      <c r="P688" s="13">
        <f>_xlfn.XLOOKUP(Orders[[#This Row],[Product ID]],products!$A$1:$A$49,products!$G$1:$G$49,,0)</f>
        <v>0.16109999999999997</v>
      </c>
      <c r="Q688" s="13">
        <f t="shared" si="51"/>
        <v>0.4832999999999999</v>
      </c>
      <c r="R688" t="str">
        <f t="shared" si="53"/>
        <v>Robusta</v>
      </c>
      <c r="S688" t="str">
        <f t="shared" si="54"/>
        <v>Dark</v>
      </c>
      <c r="T688" t="str">
        <f>_xlfn.XLOOKUP(Orders[[#This Row],[Customer ID]],customers!$A$1:$A$1001,customers!$I$1:$I$1001,,0)</f>
        <v>Yes</v>
      </c>
    </row>
    <row r="689" spans="1:20" x14ac:dyDescent="0.35">
      <c r="A689" s="2" t="s">
        <v>4371</v>
      </c>
      <c r="B689" s="3">
        <v>43471</v>
      </c>
      <c r="C689" s="2" t="s">
        <v>4372</v>
      </c>
      <c r="D689" t="s">
        <v>6139</v>
      </c>
      <c r="E689" t="str">
        <f t="shared" si="52"/>
        <v>Excelsa-Medium-0.5</v>
      </c>
      <c r="F689" s="2">
        <v>2</v>
      </c>
      <c r="G689" s="2" t="str" cm="1">
        <f t="array" ref="G689">_xlfn.XLOOKUP(C689, customers!$A$1:A1688,customers!$B$1:B1688,,0)</f>
        <v>Wilton Cottier</v>
      </c>
      <c r="H689" s="2" t="str" cm="1">
        <f t="array" ref="H689">IF(_xlfn.XLOOKUP(C689,customers!$A$1:A1688,customers!$C$1:C1688,,0) = 0,"", _xlfn.XLOOKUP(C689,customers!$A$1:A1688,customers!$C$1:C1688,,0))</f>
        <v>wcottierj3@cafepress.com</v>
      </c>
      <c r="I689" s="2" t="str">
        <f>_xlfn.XLOOKUP(C689,customers!$A$1:$A$1001,customers!$G$1:$G$1001,,0)</f>
        <v>United States</v>
      </c>
      <c r="J689" s="2" t="str">
        <f>_xlfn.XLOOKUP(Orders[[#This Row],[Customer ID]],customers!$A$1:$A$1001,customers!$F$1:$F$1001,,0)</f>
        <v>San Jose</v>
      </c>
      <c r="K689" t="str">
        <f>INDEX(products!$A$1:$G$49,MATCH(orders!$D689,products!$A$1:$A$49,0),MATCH(orders!K$1,products!$A$1:$G$1,0))</f>
        <v>Exc</v>
      </c>
      <c r="L689" t="str">
        <f>INDEX(products!$A$1:$G$49,MATCH(orders!$D689,products!$A$1:$A$49,0),MATCH(orders!L$1,products!$A$1:$G$1,0))</f>
        <v>M</v>
      </c>
      <c r="M689" s="14">
        <f>INDEX(products!$A$1:$G$49,MATCH(orders!$D689,products!$A$1:$A$49,0),MATCH(orders!M$1,products!$A$1:$G$1,0))</f>
        <v>0.5</v>
      </c>
      <c r="N689" s="4">
        <f>INDEX(products!$A$1:$G$49,MATCH(orders!$D689,products!$A$1:$A$49,0),MATCH(orders!N$1,products!$A$1:$G$1,0))</f>
        <v>8.25</v>
      </c>
      <c r="O689" s="13">
        <f t="shared" si="50"/>
        <v>16.5</v>
      </c>
      <c r="P689" s="13">
        <f>_xlfn.XLOOKUP(Orders[[#This Row],[Product ID]],products!$A$1:$A$49,products!$G$1:$G$49,,0)</f>
        <v>0.90749999999999997</v>
      </c>
      <c r="Q689" s="13">
        <f t="shared" si="51"/>
        <v>1.8149999999999999</v>
      </c>
      <c r="R689" t="str">
        <f t="shared" si="53"/>
        <v>Execelsa</v>
      </c>
      <c r="S689" t="str">
        <f t="shared" si="54"/>
        <v>Medium</v>
      </c>
      <c r="T689" t="str">
        <f>_xlfn.XLOOKUP(Orders[[#This Row],[Customer ID]],customers!$A$1:$A$1001,customers!$I$1:$I$1001,,0)</f>
        <v>No</v>
      </c>
    </row>
    <row r="690" spans="1:20" x14ac:dyDescent="0.35">
      <c r="A690" s="2" t="s">
        <v>4377</v>
      </c>
      <c r="B690" s="3">
        <v>43579</v>
      </c>
      <c r="C690" s="2" t="s">
        <v>4378</v>
      </c>
      <c r="D690" t="s">
        <v>6140</v>
      </c>
      <c r="E690" t="str">
        <f t="shared" si="52"/>
        <v>Arabica-Light-1</v>
      </c>
      <c r="F690" s="2">
        <v>5</v>
      </c>
      <c r="G690" s="2" t="str" cm="1">
        <f t="array" ref="G690">_xlfn.XLOOKUP(C690, customers!$A$1:A1689,customers!$B$1:B1689,,0)</f>
        <v>Kevan Grinsted</v>
      </c>
      <c r="H690" s="2" t="str" cm="1">
        <f t="array" ref="H690">IF(_xlfn.XLOOKUP(C690,customers!$A$1:A1689,customers!$C$1:C1689,,0) = 0,"", _xlfn.XLOOKUP(C690,customers!$A$1:A1689,customers!$C$1:C1689,,0))</f>
        <v>kgrinstedj4@google.com.br</v>
      </c>
      <c r="I690" s="2" t="str">
        <f>_xlfn.XLOOKUP(C690,customers!$A$1:$A$1001,customers!$G$1:$G$1001,,0)</f>
        <v>Ireland</v>
      </c>
      <c r="J690" s="2" t="str">
        <f>_xlfn.XLOOKUP(Orders[[#This Row],[Customer ID]],customers!$A$1:$A$1001,customers!$F$1:$F$1001,,0)</f>
        <v>Tallaght</v>
      </c>
      <c r="K690" t="str">
        <f>INDEX(products!$A$1:$G$49,MATCH(orders!$D690,products!$A$1:$A$49,0),MATCH(orders!K$1,products!$A$1:$G$1,0))</f>
        <v>Ara</v>
      </c>
      <c r="L690" t="str">
        <f>INDEX(products!$A$1:$G$49,MATCH(orders!$D690,products!$A$1:$A$49,0),MATCH(orders!L$1,products!$A$1:$G$1,0))</f>
        <v>L</v>
      </c>
      <c r="M690" s="14">
        <f>INDEX(products!$A$1:$G$49,MATCH(orders!$D690,products!$A$1:$A$49,0),MATCH(orders!M$1,products!$A$1:$G$1,0))</f>
        <v>1</v>
      </c>
      <c r="N690" s="4">
        <f>INDEX(products!$A$1:$G$49,MATCH(orders!$D690,products!$A$1:$A$49,0),MATCH(orders!N$1,products!$A$1:$G$1,0))</f>
        <v>12.95</v>
      </c>
      <c r="O690" s="13">
        <f t="shared" si="50"/>
        <v>64.75</v>
      </c>
      <c r="P690" s="13">
        <f>_xlfn.XLOOKUP(Orders[[#This Row],[Product ID]],products!$A$1:$A$49,products!$G$1:$G$49,,0)</f>
        <v>1.1655</v>
      </c>
      <c r="Q690" s="13">
        <f t="shared" si="51"/>
        <v>5.8274999999999997</v>
      </c>
      <c r="R690" t="str">
        <f t="shared" si="53"/>
        <v>Arabica</v>
      </c>
      <c r="S690" t="str">
        <f t="shared" si="54"/>
        <v>Light</v>
      </c>
      <c r="T690" t="str">
        <f>_xlfn.XLOOKUP(Orders[[#This Row],[Customer ID]],customers!$A$1:$A$1001,customers!$I$1:$I$1001,,0)</f>
        <v>No</v>
      </c>
    </row>
    <row r="691" spans="1:20" x14ac:dyDescent="0.35">
      <c r="A691" s="2" t="s">
        <v>4383</v>
      </c>
      <c r="B691" s="3">
        <v>44346</v>
      </c>
      <c r="C691" s="2" t="s">
        <v>4384</v>
      </c>
      <c r="D691" t="s">
        <v>6157</v>
      </c>
      <c r="E691" t="str">
        <f t="shared" si="52"/>
        <v>Arabica-Medium-0.5</v>
      </c>
      <c r="F691" s="2">
        <v>5</v>
      </c>
      <c r="G691" s="2" t="str" cm="1">
        <f t="array" ref="G691">_xlfn.XLOOKUP(C691, customers!$A$1:A1690,customers!$B$1:B1690,,0)</f>
        <v>Dionne Skyner</v>
      </c>
      <c r="H691" s="2" t="str" cm="1">
        <f t="array" ref="H691">IF(_xlfn.XLOOKUP(C691,customers!$A$1:A1690,customers!$C$1:C1690,,0) = 0,"", _xlfn.XLOOKUP(C691,customers!$A$1:A1690,customers!$C$1:C1690,,0))</f>
        <v>dskynerj5@hubpages.com</v>
      </c>
      <c r="I691" s="2" t="str">
        <f>_xlfn.XLOOKUP(C691,customers!$A$1:$A$1001,customers!$G$1:$G$1001,,0)</f>
        <v>United States</v>
      </c>
      <c r="J691" s="2" t="str">
        <f>_xlfn.XLOOKUP(Orders[[#This Row],[Customer ID]],customers!$A$1:$A$1001,customers!$F$1:$F$1001,,0)</f>
        <v>Colorado Springs</v>
      </c>
      <c r="K691" t="str">
        <f>INDEX(products!$A$1:$G$49,MATCH(orders!$D691,products!$A$1:$A$49,0),MATCH(orders!K$1,products!$A$1:$G$1,0))</f>
        <v>Ara</v>
      </c>
      <c r="L691" t="str">
        <f>INDEX(products!$A$1:$G$49,MATCH(orders!$D691,products!$A$1:$A$49,0),MATCH(orders!L$1,products!$A$1:$G$1,0))</f>
        <v>M</v>
      </c>
      <c r="M691" s="14">
        <f>INDEX(products!$A$1:$G$49,MATCH(orders!$D691,products!$A$1:$A$49,0),MATCH(orders!M$1,products!$A$1:$G$1,0))</f>
        <v>0.5</v>
      </c>
      <c r="N691" s="4">
        <f>INDEX(products!$A$1:$G$49,MATCH(orders!$D691,products!$A$1:$A$49,0),MATCH(orders!N$1,products!$A$1:$G$1,0))</f>
        <v>6.75</v>
      </c>
      <c r="O691" s="13">
        <f t="shared" si="50"/>
        <v>33.75</v>
      </c>
      <c r="P691" s="13">
        <f>_xlfn.XLOOKUP(Orders[[#This Row],[Product ID]],products!$A$1:$A$49,products!$G$1:$G$49,,0)</f>
        <v>0.60749999999999993</v>
      </c>
      <c r="Q691" s="13">
        <f t="shared" si="51"/>
        <v>3.0374999999999996</v>
      </c>
      <c r="R691" t="str">
        <f t="shared" si="53"/>
        <v>Arabica</v>
      </c>
      <c r="S691" t="str">
        <f t="shared" si="54"/>
        <v>Medium</v>
      </c>
      <c r="T691" t="str">
        <f>_xlfn.XLOOKUP(Orders[[#This Row],[Customer ID]],customers!$A$1:$A$1001,customers!$I$1:$I$1001,,0)</f>
        <v>No</v>
      </c>
    </row>
    <row r="692" spans="1:20" x14ac:dyDescent="0.35">
      <c r="A692" s="2" t="s">
        <v>4389</v>
      </c>
      <c r="B692" s="3">
        <v>44754</v>
      </c>
      <c r="C692" s="2" t="s">
        <v>4390</v>
      </c>
      <c r="D692" t="s">
        <v>6165</v>
      </c>
      <c r="E692" t="str">
        <f t="shared" si="52"/>
        <v>Liberica-Dark-2.5</v>
      </c>
      <c r="F692" s="2">
        <v>6</v>
      </c>
      <c r="G692" s="2" t="str" cm="1">
        <f t="array" ref="G692">_xlfn.XLOOKUP(C692, customers!$A$1:A1691,customers!$B$1:B1691,,0)</f>
        <v>Francesco Dressel</v>
      </c>
      <c r="H692" s="2" t="str" cm="1">
        <f t="array" ref="H692">IF(_xlfn.XLOOKUP(C692,customers!$A$1:A1691,customers!$C$1:C1691,,0) = 0,"", _xlfn.XLOOKUP(C692,customers!$A$1:A1691,customers!$C$1:C1691,,0))</f>
        <v/>
      </c>
      <c r="I692" s="2" t="str">
        <f>_xlfn.XLOOKUP(C692,customers!$A$1:$A$1001,customers!$G$1:$G$1001,,0)</f>
        <v>United States</v>
      </c>
      <c r="J692" s="2" t="str">
        <f>_xlfn.XLOOKUP(Orders[[#This Row],[Customer ID]],customers!$A$1:$A$1001,customers!$F$1:$F$1001,,0)</f>
        <v>Toledo</v>
      </c>
      <c r="K692" t="str">
        <f>INDEX(products!$A$1:$G$49,MATCH(orders!$D692,products!$A$1:$A$49,0),MATCH(orders!K$1,products!$A$1:$G$1,0))</f>
        <v>Lib</v>
      </c>
      <c r="L692" t="str">
        <f>INDEX(products!$A$1:$G$49,MATCH(orders!$D692,products!$A$1:$A$49,0),MATCH(orders!L$1,products!$A$1:$G$1,0))</f>
        <v>D</v>
      </c>
      <c r="M692" s="14">
        <f>INDEX(products!$A$1:$G$49,MATCH(orders!$D692,products!$A$1:$A$49,0),MATCH(orders!M$1,products!$A$1:$G$1,0))</f>
        <v>2.5</v>
      </c>
      <c r="N692" s="4">
        <f>INDEX(products!$A$1:$G$49,MATCH(orders!$D692,products!$A$1:$A$49,0),MATCH(orders!N$1,products!$A$1:$G$1,0))</f>
        <v>29.784999999999997</v>
      </c>
      <c r="O692" s="13">
        <f t="shared" si="50"/>
        <v>178.70999999999998</v>
      </c>
      <c r="P692" s="13">
        <f>_xlfn.XLOOKUP(Orders[[#This Row],[Product ID]],products!$A$1:$A$49,products!$G$1:$G$49,,0)</f>
        <v>3.8720499999999998</v>
      </c>
      <c r="Q692" s="13">
        <f t="shared" si="51"/>
        <v>23.232299999999999</v>
      </c>
      <c r="R692" t="str">
        <f t="shared" si="53"/>
        <v>Liberica</v>
      </c>
      <c r="S692" t="str">
        <f t="shared" si="54"/>
        <v>Dark</v>
      </c>
      <c r="T692" t="str">
        <f>_xlfn.XLOOKUP(Orders[[#This Row],[Customer ID]],customers!$A$1:$A$1001,customers!$I$1:$I$1001,,0)</f>
        <v>No</v>
      </c>
    </row>
    <row r="693" spans="1:20" x14ac:dyDescent="0.35">
      <c r="A693" s="2" t="s">
        <v>4393</v>
      </c>
      <c r="B693" s="3">
        <v>44227</v>
      </c>
      <c r="C693" s="2" t="s">
        <v>4434</v>
      </c>
      <c r="D693" t="s">
        <v>6155</v>
      </c>
      <c r="E693" t="str">
        <f t="shared" si="52"/>
        <v>Arabica-Medium-1</v>
      </c>
      <c r="F693" s="2">
        <v>2</v>
      </c>
      <c r="G693" s="2" t="str" cm="1">
        <f t="array" ref="G693">_xlfn.XLOOKUP(C693, customers!$A$1:A1692,customers!$B$1:B1692,,0)</f>
        <v>Jimmy Dymoke</v>
      </c>
      <c r="H693" s="2" t="str" cm="1">
        <f t="array" ref="H693">IF(_xlfn.XLOOKUP(C693,customers!$A$1:A1692,customers!$C$1:C1692,,0) = 0,"", _xlfn.XLOOKUP(C693,customers!$A$1:A1692,customers!$C$1:C1692,,0))</f>
        <v>jdymokeje@prnewswire.com</v>
      </c>
      <c r="I693" s="2" t="str">
        <f>_xlfn.XLOOKUP(C693,customers!$A$1:$A$1001,customers!$G$1:$G$1001,,0)</f>
        <v>Ireland</v>
      </c>
      <c r="J693" s="2" t="str">
        <f>_xlfn.XLOOKUP(Orders[[#This Row],[Customer ID]],customers!$A$1:$A$1001,customers!$F$1:$F$1001,,0)</f>
        <v>Beaumont</v>
      </c>
      <c r="K693" t="str">
        <f>INDEX(products!$A$1:$G$49,MATCH(orders!$D693,products!$A$1:$A$49,0),MATCH(orders!K$1,products!$A$1:$G$1,0))</f>
        <v>Ara</v>
      </c>
      <c r="L693" t="str">
        <f>INDEX(products!$A$1:$G$49,MATCH(orders!$D693,products!$A$1:$A$49,0),MATCH(orders!L$1,products!$A$1:$G$1,0))</f>
        <v>M</v>
      </c>
      <c r="M693" s="14">
        <f>INDEX(products!$A$1:$G$49,MATCH(orders!$D693,products!$A$1:$A$49,0),MATCH(orders!M$1,products!$A$1:$G$1,0))</f>
        <v>1</v>
      </c>
      <c r="N693" s="4">
        <f>INDEX(products!$A$1:$G$49,MATCH(orders!$D693,products!$A$1:$A$49,0),MATCH(orders!N$1,products!$A$1:$G$1,0))</f>
        <v>11.25</v>
      </c>
      <c r="O693" s="13">
        <f t="shared" si="50"/>
        <v>22.5</v>
      </c>
      <c r="P693" s="13">
        <f>_xlfn.XLOOKUP(Orders[[#This Row],[Product ID]],products!$A$1:$A$49,products!$G$1:$G$49,,0)</f>
        <v>1.0125</v>
      </c>
      <c r="Q693" s="13">
        <f t="shared" si="51"/>
        <v>2.0249999999999999</v>
      </c>
      <c r="R693" t="str">
        <f t="shared" si="53"/>
        <v>Arabica</v>
      </c>
      <c r="S693" t="str">
        <f t="shared" si="54"/>
        <v>Medium</v>
      </c>
      <c r="T693" t="str">
        <f>_xlfn.XLOOKUP(Orders[[#This Row],[Customer ID]],customers!$A$1:$A$1001,customers!$I$1:$I$1001,,0)</f>
        <v>No</v>
      </c>
    </row>
    <row r="694" spans="1:20" x14ac:dyDescent="0.35">
      <c r="A694" s="2" t="s">
        <v>4399</v>
      </c>
      <c r="B694" s="3">
        <v>43720</v>
      </c>
      <c r="C694" s="2" t="s">
        <v>4400</v>
      </c>
      <c r="D694" t="s">
        <v>6143</v>
      </c>
      <c r="E694" t="str">
        <f t="shared" si="52"/>
        <v>Liberica-Dark-1</v>
      </c>
      <c r="F694" s="2">
        <v>1</v>
      </c>
      <c r="G694" s="2" t="str" cm="1">
        <f t="array" ref="G694">_xlfn.XLOOKUP(C694, customers!$A$1:A1693,customers!$B$1:B1693,,0)</f>
        <v>Ambrosio Weinmann</v>
      </c>
      <c r="H694" s="2" t="str" cm="1">
        <f t="array" ref="H694">IF(_xlfn.XLOOKUP(C694,customers!$A$1:A1693,customers!$C$1:C1693,,0) = 0,"", _xlfn.XLOOKUP(C694,customers!$A$1:A1693,customers!$C$1:C1693,,0))</f>
        <v>aweinmannj8@shinystat.com</v>
      </c>
      <c r="I694" s="2" t="str">
        <f>_xlfn.XLOOKUP(C694,customers!$A$1:$A$1001,customers!$G$1:$G$1001,,0)</f>
        <v>United States</v>
      </c>
      <c r="J694" s="2" t="str">
        <f>_xlfn.XLOOKUP(Orders[[#This Row],[Customer ID]],customers!$A$1:$A$1001,customers!$F$1:$F$1001,,0)</f>
        <v>Cincinnati</v>
      </c>
      <c r="K694" t="str">
        <f>INDEX(products!$A$1:$G$49,MATCH(orders!$D694,products!$A$1:$A$49,0),MATCH(orders!K$1,products!$A$1:$G$1,0))</f>
        <v>Lib</v>
      </c>
      <c r="L694" t="str">
        <f>INDEX(products!$A$1:$G$49,MATCH(orders!$D694,products!$A$1:$A$49,0),MATCH(orders!L$1,products!$A$1:$G$1,0))</f>
        <v>D</v>
      </c>
      <c r="M694" s="14">
        <f>INDEX(products!$A$1:$G$49,MATCH(orders!$D694,products!$A$1:$A$49,0),MATCH(orders!M$1,products!$A$1:$G$1,0))</f>
        <v>1</v>
      </c>
      <c r="N694" s="4">
        <f>INDEX(products!$A$1:$G$49,MATCH(orders!$D694,products!$A$1:$A$49,0),MATCH(orders!N$1,products!$A$1:$G$1,0))</f>
        <v>12.95</v>
      </c>
      <c r="O694" s="13">
        <f t="shared" si="50"/>
        <v>12.95</v>
      </c>
      <c r="P694" s="13">
        <f>_xlfn.XLOOKUP(Orders[[#This Row],[Product ID]],products!$A$1:$A$49,products!$G$1:$G$49,,0)</f>
        <v>1.6835</v>
      </c>
      <c r="Q694" s="13">
        <f t="shared" si="51"/>
        <v>1.6835</v>
      </c>
      <c r="R694" t="str">
        <f t="shared" si="53"/>
        <v>Liberica</v>
      </c>
      <c r="S694" t="str">
        <f t="shared" si="54"/>
        <v>Dark</v>
      </c>
      <c r="T694" t="str">
        <f>_xlfn.XLOOKUP(Orders[[#This Row],[Customer ID]],customers!$A$1:$A$1001,customers!$I$1:$I$1001,,0)</f>
        <v>No</v>
      </c>
    </row>
    <row r="695" spans="1:20" x14ac:dyDescent="0.35">
      <c r="A695" s="2" t="s">
        <v>4405</v>
      </c>
      <c r="B695" s="3">
        <v>44012</v>
      </c>
      <c r="C695" s="2" t="s">
        <v>4406</v>
      </c>
      <c r="D695" t="s">
        <v>6175</v>
      </c>
      <c r="E695" t="str">
        <f t="shared" si="52"/>
        <v>Arabica-Medium-2.5</v>
      </c>
      <c r="F695" s="2">
        <v>2</v>
      </c>
      <c r="G695" s="2" t="str" cm="1">
        <f t="array" ref="G695">_xlfn.XLOOKUP(C695, customers!$A$1:A1694,customers!$B$1:B1694,,0)</f>
        <v>Elden Andriessen</v>
      </c>
      <c r="H695" s="2" t="str" cm="1">
        <f t="array" ref="H695">IF(_xlfn.XLOOKUP(C695,customers!$A$1:A1694,customers!$C$1:C1694,,0) = 0,"", _xlfn.XLOOKUP(C695,customers!$A$1:A1694,customers!$C$1:C1694,,0))</f>
        <v>eandriessenj9@europa.eu</v>
      </c>
      <c r="I695" s="2" t="str">
        <f>_xlfn.XLOOKUP(C695,customers!$A$1:$A$1001,customers!$G$1:$G$1001,,0)</f>
        <v>United States</v>
      </c>
      <c r="J695" s="2" t="str">
        <f>_xlfn.XLOOKUP(Orders[[#This Row],[Customer ID]],customers!$A$1:$A$1001,customers!$F$1:$F$1001,,0)</f>
        <v>Saint Louis</v>
      </c>
      <c r="K695" t="str">
        <f>INDEX(products!$A$1:$G$49,MATCH(orders!$D695,products!$A$1:$A$49,0),MATCH(orders!K$1,products!$A$1:$G$1,0))</f>
        <v>Ara</v>
      </c>
      <c r="L695" t="str">
        <f>INDEX(products!$A$1:$G$49,MATCH(orders!$D695,products!$A$1:$A$49,0),MATCH(orders!L$1,products!$A$1:$G$1,0))</f>
        <v>M</v>
      </c>
      <c r="M695" s="14">
        <f>INDEX(products!$A$1:$G$49,MATCH(orders!$D695,products!$A$1:$A$49,0),MATCH(orders!M$1,products!$A$1:$G$1,0))</f>
        <v>2.5</v>
      </c>
      <c r="N695" s="4">
        <f>INDEX(products!$A$1:$G$49,MATCH(orders!$D695,products!$A$1:$A$49,0),MATCH(orders!N$1,products!$A$1:$G$1,0))</f>
        <v>25.874999999999996</v>
      </c>
      <c r="O695" s="13">
        <f t="shared" si="50"/>
        <v>51.749999999999993</v>
      </c>
      <c r="P695" s="13">
        <f>_xlfn.XLOOKUP(Orders[[#This Row],[Product ID]],products!$A$1:$A$49,products!$G$1:$G$49,,0)</f>
        <v>2.3287499999999994</v>
      </c>
      <c r="Q695" s="13">
        <f t="shared" si="51"/>
        <v>4.6574999999999989</v>
      </c>
      <c r="R695" t="str">
        <f t="shared" si="53"/>
        <v>Arabica</v>
      </c>
      <c r="S695" t="str">
        <f t="shared" si="54"/>
        <v>Medium</v>
      </c>
      <c r="T695" t="str">
        <f>_xlfn.XLOOKUP(Orders[[#This Row],[Customer ID]],customers!$A$1:$A$1001,customers!$I$1:$I$1001,,0)</f>
        <v>Yes</v>
      </c>
    </row>
    <row r="696" spans="1:20" x14ac:dyDescent="0.35">
      <c r="A696" s="2" t="s">
        <v>4411</v>
      </c>
      <c r="B696" s="3">
        <v>43915</v>
      </c>
      <c r="C696" s="2" t="s">
        <v>4412</v>
      </c>
      <c r="D696" t="s">
        <v>6144</v>
      </c>
      <c r="E696" t="str">
        <f t="shared" si="52"/>
        <v>Excelsa-Dark-0.5</v>
      </c>
      <c r="F696" s="2">
        <v>5</v>
      </c>
      <c r="G696" s="2" t="str" cm="1">
        <f t="array" ref="G696">_xlfn.XLOOKUP(C696, customers!$A$1:A1695,customers!$B$1:B1695,,0)</f>
        <v>Roxie Deaconson</v>
      </c>
      <c r="H696" s="2" t="str" cm="1">
        <f t="array" ref="H696">IF(_xlfn.XLOOKUP(C696,customers!$A$1:A1695,customers!$C$1:C1695,,0) = 0,"", _xlfn.XLOOKUP(C696,customers!$A$1:A1695,customers!$C$1:C1695,,0))</f>
        <v>rdeaconsonja@archive.org</v>
      </c>
      <c r="I696" s="2" t="str">
        <f>_xlfn.XLOOKUP(C696,customers!$A$1:$A$1001,customers!$G$1:$G$1001,,0)</f>
        <v>United States</v>
      </c>
      <c r="J696" s="2" t="str">
        <f>_xlfn.XLOOKUP(Orders[[#This Row],[Customer ID]],customers!$A$1:$A$1001,customers!$F$1:$F$1001,,0)</f>
        <v>Yonkers</v>
      </c>
      <c r="K696" t="str">
        <f>INDEX(products!$A$1:$G$49,MATCH(orders!$D696,products!$A$1:$A$49,0),MATCH(orders!K$1,products!$A$1:$G$1,0))</f>
        <v>Exc</v>
      </c>
      <c r="L696" t="str">
        <f>INDEX(products!$A$1:$G$49,MATCH(orders!$D696,products!$A$1:$A$49,0),MATCH(orders!L$1,products!$A$1:$G$1,0))</f>
        <v>D</v>
      </c>
      <c r="M696" s="14">
        <f>INDEX(products!$A$1:$G$49,MATCH(orders!$D696,products!$A$1:$A$49,0),MATCH(orders!M$1,products!$A$1:$G$1,0))</f>
        <v>0.5</v>
      </c>
      <c r="N696" s="4">
        <f>INDEX(products!$A$1:$G$49,MATCH(orders!$D696,products!$A$1:$A$49,0),MATCH(orders!N$1,products!$A$1:$G$1,0))</f>
        <v>7.29</v>
      </c>
      <c r="O696" s="13">
        <f t="shared" si="50"/>
        <v>36.450000000000003</v>
      </c>
      <c r="P696" s="13">
        <f>_xlfn.XLOOKUP(Orders[[#This Row],[Product ID]],products!$A$1:$A$49,products!$G$1:$G$49,,0)</f>
        <v>0.80190000000000006</v>
      </c>
      <c r="Q696" s="13">
        <f t="shared" si="51"/>
        <v>4.0095000000000001</v>
      </c>
      <c r="R696" t="str">
        <f t="shared" si="53"/>
        <v>Execelsa</v>
      </c>
      <c r="S696" t="str">
        <f t="shared" si="54"/>
        <v>Dark</v>
      </c>
      <c r="T696" t="str">
        <f>_xlfn.XLOOKUP(Orders[[#This Row],[Customer ID]],customers!$A$1:$A$1001,customers!$I$1:$I$1001,,0)</f>
        <v>No</v>
      </c>
    </row>
    <row r="697" spans="1:20" x14ac:dyDescent="0.35">
      <c r="A697" s="2" t="s">
        <v>4417</v>
      </c>
      <c r="B697" s="3">
        <v>44300</v>
      </c>
      <c r="C697" s="2" t="s">
        <v>4418</v>
      </c>
      <c r="D697" t="s">
        <v>6164</v>
      </c>
      <c r="E697" t="str">
        <f t="shared" si="52"/>
        <v>Liberica-Light-2.5</v>
      </c>
      <c r="F697" s="2">
        <v>5</v>
      </c>
      <c r="G697" s="2" t="str" cm="1">
        <f t="array" ref="G697">_xlfn.XLOOKUP(C697, customers!$A$1:A1696,customers!$B$1:B1696,,0)</f>
        <v>Davida Caro</v>
      </c>
      <c r="H697" s="2" t="str" cm="1">
        <f t="array" ref="H697">IF(_xlfn.XLOOKUP(C697,customers!$A$1:A1696,customers!$C$1:C1696,,0) = 0,"", _xlfn.XLOOKUP(C697,customers!$A$1:A1696,customers!$C$1:C1696,,0))</f>
        <v>dcarojb@twitter.com</v>
      </c>
      <c r="I697" s="2" t="str">
        <f>_xlfn.XLOOKUP(C697,customers!$A$1:$A$1001,customers!$G$1:$G$1001,,0)</f>
        <v>United States</v>
      </c>
      <c r="J697" s="2" t="str">
        <f>_xlfn.XLOOKUP(Orders[[#This Row],[Customer ID]],customers!$A$1:$A$1001,customers!$F$1:$F$1001,,0)</f>
        <v>Baltimore</v>
      </c>
      <c r="K697" t="str">
        <f>INDEX(products!$A$1:$G$49,MATCH(orders!$D697,products!$A$1:$A$49,0),MATCH(orders!K$1,products!$A$1:$G$1,0))</f>
        <v>Lib</v>
      </c>
      <c r="L697" t="str">
        <f>INDEX(products!$A$1:$G$49,MATCH(orders!$D697,products!$A$1:$A$49,0),MATCH(orders!L$1,products!$A$1:$G$1,0))</f>
        <v>L</v>
      </c>
      <c r="M697" s="14">
        <f>INDEX(products!$A$1:$G$49,MATCH(orders!$D697,products!$A$1:$A$49,0),MATCH(orders!M$1,products!$A$1:$G$1,0))</f>
        <v>2.5</v>
      </c>
      <c r="N697" s="4">
        <f>INDEX(products!$A$1:$G$49,MATCH(orders!$D697,products!$A$1:$A$49,0),MATCH(orders!N$1,products!$A$1:$G$1,0))</f>
        <v>36.454999999999998</v>
      </c>
      <c r="O697" s="13">
        <f t="shared" si="50"/>
        <v>182.27499999999998</v>
      </c>
      <c r="P697" s="13">
        <f>_xlfn.XLOOKUP(Orders[[#This Row],[Product ID]],products!$A$1:$A$49,products!$G$1:$G$49,,0)</f>
        <v>4.7391499999999995</v>
      </c>
      <c r="Q697" s="13">
        <f t="shared" si="51"/>
        <v>23.695749999999997</v>
      </c>
      <c r="R697" t="str">
        <f t="shared" si="53"/>
        <v>Liberica</v>
      </c>
      <c r="S697" t="str">
        <f t="shared" si="54"/>
        <v>Light</v>
      </c>
      <c r="T697" t="str">
        <f>_xlfn.XLOOKUP(Orders[[#This Row],[Customer ID]],customers!$A$1:$A$1001,customers!$I$1:$I$1001,,0)</f>
        <v>Yes</v>
      </c>
    </row>
    <row r="698" spans="1:20" x14ac:dyDescent="0.35">
      <c r="A698" s="2" t="s">
        <v>4423</v>
      </c>
      <c r="B698" s="3">
        <v>43693</v>
      </c>
      <c r="C698" s="2" t="s">
        <v>4424</v>
      </c>
      <c r="D698" t="s">
        <v>6169</v>
      </c>
      <c r="E698" t="str">
        <f t="shared" si="52"/>
        <v>Liberica-Dark-0.5</v>
      </c>
      <c r="F698" s="2">
        <v>4</v>
      </c>
      <c r="G698" s="2" t="str" cm="1">
        <f t="array" ref="G698">_xlfn.XLOOKUP(C698, customers!$A$1:A1697,customers!$B$1:B1697,,0)</f>
        <v>Johna Bluck</v>
      </c>
      <c r="H698" s="2" t="str" cm="1">
        <f t="array" ref="H698">IF(_xlfn.XLOOKUP(C698,customers!$A$1:A1697,customers!$C$1:C1697,,0) = 0,"", _xlfn.XLOOKUP(C698,customers!$A$1:A1697,customers!$C$1:C1697,,0))</f>
        <v>jbluckjc@imageshack.us</v>
      </c>
      <c r="I698" s="2" t="str">
        <f>_xlfn.XLOOKUP(C698,customers!$A$1:$A$1001,customers!$G$1:$G$1001,,0)</f>
        <v>United States</v>
      </c>
      <c r="J698" s="2" t="str">
        <f>_xlfn.XLOOKUP(Orders[[#This Row],[Customer ID]],customers!$A$1:$A$1001,customers!$F$1:$F$1001,,0)</f>
        <v>Jacksonville</v>
      </c>
      <c r="K698" t="str">
        <f>INDEX(products!$A$1:$G$49,MATCH(orders!$D698,products!$A$1:$A$49,0),MATCH(orders!K$1,products!$A$1:$G$1,0))</f>
        <v>Lib</v>
      </c>
      <c r="L698" t="str">
        <f>INDEX(products!$A$1:$G$49,MATCH(orders!$D698,products!$A$1:$A$49,0),MATCH(orders!L$1,products!$A$1:$G$1,0))</f>
        <v>D</v>
      </c>
      <c r="M698" s="14">
        <f>INDEX(products!$A$1:$G$49,MATCH(orders!$D698,products!$A$1:$A$49,0),MATCH(orders!M$1,products!$A$1:$G$1,0))</f>
        <v>0.5</v>
      </c>
      <c r="N698" s="4">
        <f>INDEX(products!$A$1:$G$49,MATCH(orders!$D698,products!$A$1:$A$49,0),MATCH(orders!N$1,products!$A$1:$G$1,0))</f>
        <v>7.77</v>
      </c>
      <c r="O698" s="13">
        <f t="shared" si="50"/>
        <v>31.08</v>
      </c>
      <c r="P698" s="13">
        <f>_xlfn.XLOOKUP(Orders[[#This Row],[Product ID]],products!$A$1:$A$49,products!$G$1:$G$49,,0)</f>
        <v>1.0101</v>
      </c>
      <c r="Q698" s="13">
        <f t="shared" si="51"/>
        <v>4.0404</v>
      </c>
      <c r="R698" t="str">
        <f t="shared" si="53"/>
        <v>Liberica</v>
      </c>
      <c r="S698" t="str">
        <f t="shared" si="54"/>
        <v>Dark</v>
      </c>
      <c r="T698" t="str">
        <f>_xlfn.XLOOKUP(Orders[[#This Row],[Customer ID]],customers!$A$1:$A$1001,customers!$I$1:$I$1001,,0)</f>
        <v>No</v>
      </c>
    </row>
    <row r="699" spans="1:20" x14ac:dyDescent="0.35">
      <c r="A699" s="2" t="s">
        <v>4429</v>
      </c>
      <c r="B699" s="3">
        <v>44547</v>
      </c>
      <c r="C699" s="2" t="s">
        <v>4430</v>
      </c>
      <c r="D699" t="s">
        <v>6157</v>
      </c>
      <c r="E699" t="str">
        <f t="shared" si="52"/>
        <v>Arabica-Medium-0.5</v>
      </c>
      <c r="F699" s="2">
        <v>3</v>
      </c>
      <c r="G699" s="2" t="str" cm="1">
        <f t="array" ref="G699">_xlfn.XLOOKUP(C699, customers!$A$1:A1698,customers!$B$1:B1698,,0)</f>
        <v>Myrle Dearden</v>
      </c>
      <c r="H699" s="2" t="str" cm="1">
        <f t="array" ref="H699">IF(_xlfn.XLOOKUP(C699,customers!$A$1:A1698,customers!$C$1:C1698,,0) = 0,"", _xlfn.XLOOKUP(C699,customers!$A$1:A1698,customers!$C$1:C1698,,0))</f>
        <v/>
      </c>
      <c r="I699" s="2" t="str">
        <f>_xlfn.XLOOKUP(C699,customers!$A$1:$A$1001,customers!$G$1:$G$1001,,0)</f>
        <v>Ireland</v>
      </c>
      <c r="J699" s="2" t="str">
        <f>_xlfn.XLOOKUP(Orders[[#This Row],[Customer ID]],customers!$A$1:$A$1001,customers!$F$1:$F$1001,,0)</f>
        <v>Bayside</v>
      </c>
      <c r="K699" t="str">
        <f>INDEX(products!$A$1:$G$49,MATCH(orders!$D699,products!$A$1:$A$49,0),MATCH(orders!K$1,products!$A$1:$G$1,0))</f>
        <v>Ara</v>
      </c>
      <c r="L699" t="str">
        <f>INDEX(products!$A$1:$G$49,MATCH(orders!$D699,products!$A$1:$A$49,0),MATCH(orders!L$1,products!$A$1:$G$1,0))</f>
        <v>M</v>
      </c>
      <c r="M699" s="14">
        <f>INDEX(products!$A$1:$G$49,MATCH(orders!$D699,products!$A$1:$A$49,0),MATCH(orders!M$1,products!$A$1:$G$1,0))</f>
        <v>0.5</v>
      </c>
      <c r="N699" s="4">
        <f>INDEX(products!$A$1:$G$49,MATCH(orders!$D699,products!$A$1:$A$49,0),MATCH(orders!N$1,products!$A$1:$G$1,0))</f>
        <v>6.75</v>
      </c>
      <c r="O699" s="13">
        <f t="shared" si="50"/>
        <v>20.25</v>
      </c>
      <c r="P699" s="13">
        <f>_xlfn.XLOOKUP(Orders[[#This Row],[Product ID]],products!$A$1:$A$49,products!$G$1:$G$49,,0)</f>
        <v>0.60749999999999993</v>
      </c>
      <c r="Q699" s="13">
        <f t="shared" si="51"/>
        <v>1.8224999999999998</v>
      </c>
      <c r="R699" t="str">
        <f t="shared" si="53"/>
        <v>Arabica</v>
      </c>
      <c r="S699" t="str">
        <f t="shared" si="54"/>
        <v>Medium</v>
      </c>
      <c r="T699" t="str">
        <f>_xlfn.XLOOKUP(Orders[[#This Row],[Customer ID]],customers!$A$1:$A$1001,customers!$I$1:$I$1001,,0)</f>
        <v>No</v>
      </c>
    </row>
    <row r="700" spans="1:20" x14ac:dyDescent="0.35">
      <c r="A700" s="2" t="s">
        <v>4433</v>
      </c>
      <c r="B700" s="3">
        <v>43830</v>
      </c>
      <c r="C700" s="2" t="s">
        <v>4434</v>
      </c>
      <c r="D700" t="s">
        <v>6143</v>
      </c>
      <c r="E700" t="str">
        <f t="shared" si="52"/>
        <v>Liberica-Dark-1</v>
      </c>
      <c r="F700" s="2">
        <v>2</v>
      </c>
      <c r="G700" s="2" t="str" cm="1">
        <f t="array" ref="G700">_xlfn.XLOOKUP(C700, customers!$A$1:A1699,customers!$B$1:B1699,,0)</f>
        <v>Jimmy Dymoke</v>
      </c>
      <c r="H700" s="2" t="str" cm="1">
        <f t="array" ref="H700">IF(_xlfn.XLOOKUP(C700,customers!$A$1:A1699,customers!$C$1:C1699,,0) = 0,"", _xlfn.XLOOKUP(C700,customers!$A$1:A1699,customers!$C$1:C1699,,0))</f>
        <v>jdymokeje@prnewswire.com</v>
      </c>
      <c r="I700" s="2" t="str">
        <f>_xlfn.XLOOKUP(C700,customers!$A$1:$A$1001,customers!$G$1:$G$1001,,0)</f>
        <v>Ireland</v>
      </c>
      <c r="J700" s="2" t="str">
        <f>_xlfn.XLOOKUP(Orders[[#This Row],[Customer ID]],customers!$A$1:$A$1001,customers!$F$1:$F$1001,,0)</f>
        <v>Beaumont</v>
      </c>
      <c r="K700" t="str">
        <f>INDEX(products!$A$1:$G$49,MATCH(orders!$D700,products!$A$1:$A$49,0),MATCH(orders!K$1,products!$A$1:$G$1,0))</f>
        <v>Lib</v>
      </c>
      <c r="L700" t="str">
        <f>INDEX(products!$A$1:$G$49,MATCH(orders!$D700,products!$A$1:$A$49,0),MATCH(orders!L$1,products!$A$1:$G$1,0))</f>
        <v>D</v>
      </c>
      <c r="M700" s="14">
        <f>INDEX(products!$A$1:$G$49,MATCH(orders!$D700,products!$A$1:$A$49,0),MATCH(orders!M$1,products!$A$1:$G$1,0))</f>
        <v>1</v>
      </c>
      <c r="N700" s="4">
        <f>INDEX(products!$A$1:$G$49,MATCH(orders!$D700,products!$A$1:$A$49,0),MATCH(orders!N$1,products!$A$1:$G$1,0))</f>
        <v>12.95</v>
      </c>
      <c r="O700" s="13">
        <f t="shared" si="50"/>
        <v>25.9</v>
      </c>
      <c r="P700" s="13">
        <f>_xlfn.XLOOKUP(Orders[[#This Row],[Product ID]],products!$A$1:$A$49,products!$G$1:$G$49,,0)</f>
        <v>1.6835</v>
      </c>
      <c r="Q700" s="13">
        <f t="shared" si="51"/>
        <v>3.367</v>
      </c>
      <c r="R700" t="str">
        <f t="shared" si="53"/>
        <v>Liberica</v>
      </c>
      <c r="S700" t="str">
        <f t="shared" si="54"/>
        <v>Dark</v>
      </c>
      <c r="T700" t="str">
        <f>_xlfn.XLOOKUP(Orders[[#This Row],[Customer ID]],customers!$A$1:$A$1001,customers!$I$1:$I$1001,,0)</f>
        <v>No</v>
      </c>
    </row>
    <row r="701" spans="1:20" x14ac:dyDescent="0.35">
      <c r="A701" s="2" t="s">
        <v>4439</v>
      </c>
      <c r="B701" s="3">
        <v>44298</v>
      </c>
      <c r="C701" s="2" t="s">
        <v>4440</v>
      </c>
      <c r="D701" t="s">
        <v>6158</v>
      </c>
      <c r="E701" t="str">
        <f t="shared" si="52"/>
        <v>Arabica-Dark-0.5</v>
      </c>
      <c r="F701" s="2">
        <v>4</v>
      </c>
      <c r="G701" s="2" t="str" cm="1">
        <f t="array" ref="G701">_xlfn.XLOOKUP(C701, customers!$A$1:A1700,customers!$B$1:B1700,,0)</f>
        <v>Orland Tadman</v>
      </c>
      <c r="H701" s="2" t="str" cm="1">
        <f t="array" ref="H701">IF(_xlfn.XLOOKUP(C701,customers!$A$1:A1700,customers!$C$1:C1700,,0) = 0,"", _xlfn.XLOOKUP(C701,customers!$A$1:A1700,customers!$C$1:C1700,,0))</f>
        <v>otadmanjf@ft.com</v>
      </c>
      <c r="I701" s="2" t="str">
        <f>_xlfn.XLOOKUP(C701,customers!$A$1:$A$1001,customers!$G$1:$G$1001,,0)</f>
        <v>United States</v>
      </c>
      <c r="J701" s="2" t="str">
        <f>_xlfn.XLOOKUP(Orders[[#This Row],[Customer ID]],customers!$A$1:$A$1001,customers!$F$1:$F$1001,,0)</f>
        <v>Miami</v>
      </c>
      <c r="K701" t="str">
        <f>INDEX(products!$A$1:$G$49,MATCH(orders!$D701,products!$A$1:$A$49,0),MATCH(orders!K$1,products!$A$1:$G$1,0))</f>
        <v>Ara</v>
      </c>
      <c r="L701" t="str">
        <f>INDEX(products!$A$1:$G$49,MATCH(orders!$D701,products!$A$1:$A$49,0),MATCH(orders!L$1,products!$A$1:$G$1,0))</f>
        <v>D</v>
      </c>
      <c r="M701" s="14">
        <f>INDEX(products!$A$1:$G$49,MATCH(orders!$D701,products!$A$1:$A$49,0),MATCH(orders!M$1,products!$A$1:$G$1,0))</f>
        <v>0.5</v>
      </c>
      <c r="N701" s="4">
        <f>INDEX(products!$A$1:$G$49,MATCH(orders!$D701,products!$A$1:$A$49,0),MATCH(orders!N$1,products!$A$1:$G$1,0))</f>
        <v>5.97</v>
      </c>
      <c r="O701" s="13">
        <f t="shared" si="50"/>
        <v>23.88</v>
      </c>
      <c r="P701" s="13">
        <f>_xlfn.XLOOKUP(Orders[[#This Row],[Product ID]],products!$A$1:$A$49,products!$G$1:$G$49,,0)</f>
        <v>0.5373</v>
      </c>
      <c r="Q701" s="13">
        <f t="shared" si="51"/>
        <v>2.1492</v>
      </c>
      <c r="R701" t="str">
        <f t="shared" si="53"/>
        <v>Arabica</v>
      </c>
      <c r="S701" t="str">
        <f t="shared" si="54"/>
        <v>Dark</v>
      </c>
      <c r="T701" t="str">
        <f>_xlfn.XLOOKUP(Orders[[#This Row],[Customer ID]],customers!$A$1:$A$1001,customers!$I$1:$I$1001,,0)</f>
        <v>Yes</v>
      </c>
    </row>
    <row r="702" spans="1:20" x14ac:dyDescent="0.35">
      <c r="A702" s="2" t="s">
        <v>4445</v>
      </c>
      <c r="B702" s="3">
        <v>43736</v>
      </c>
      <c r="C702" s="2" t="s">
        <v>4446</v>
      </c>
      <c r="D702" t="s">
        <v>6161</v>
      </c>
      <c r="E702" t="str">
        <f t="shared" si="52"/>
        <v>Liberica-Light-0.5</v>
      </c>
      <c r="F702" s="2">
        <v>2</v>
      </c>
      <c r="G702" s="2" t="str" cm="1">
        <f t="array" ref="G702">_xlfn.XLOOKUP(C702, customers!$A$1:A1701,customers!$B$1:B1701,,0)</f>
        <v>Barrett Gudde</v>
      </c>
      <c r="H702" s="2" t="str" cm="1">
        <f t="array" ref="H702">IF(_xlfn.XLOOKUP(C702,customers!$A$1:A1701,customers!$C$1:C1701,,0) = 0,"", _xlfn.XLOOKUP(C702,customers!$A$1:A1701,customers!$C$1:C1701,,0))</f>
        <v>bguddejg@dailymotion.com</v>
      </c>
      <c r="I702" s="2" t="str">
        <f>_xlfn.XLOOKUP(C702,customers!$A$1:$A$1001,customers!$G$1:$G$1001,,0)</f>
        <v>United States</v>
      </c>
      <c r="J702" s="2" t="str">
        <f>_xlfn.XLOOKUP(Orders[[#This Row],[Customer ID]],customers!$A$1:$A$1001,customers!$F$1:$F$1001,,0)</f>
        <v>San Francisco</v>
      </c>
      <c r="K702" t="str">
        <f>INDEX(products!$A$1:$G$49,MATCH(orders!$D702,products!$A$1:$A$49,0),MATCH(orders!K$1,products!$A$1:$G$1,0))</f>
        <v>Lib</v>
      </c>
      <c r="L702" t="str">
        <f>INDEX(products!$A$1:$G$49,MATCH(orders!$D702,products!$A$1:$A$49,0),MATCH(orders!L$1,products!$A$1:$G$1,0))</f>
        <v>L</v>
      </c>
      <c r="M702" s="14">
        <f>INDEX(products!$A$1:$G$49,MATCH(orders!$D702,products!$A$1:$A$49,0),MATCH(orders!M$1,products!$A$1:$G$1,0))</f>
        <v>0.5</v>
      </c>
      <c r="N702" s="4">
        <f>INDEX(products!$A$1:$G$49,MATCH(orders!$D702,products!$A$1:$A$49,0),MATCH(orders!N$1,products!$A$1:$G$1,0))</f>
        <v>9.51</v>
      </c>
      <c r="O702" s="13">
        <f t="shared" si="50"/>
        <v>19.02</v>
      </c>
      <c r="P702" s="13">
        <f>_xlfn.XLOOKUP(Orders[[#This Row],[Product ID]],products!$A$1:$A$49,products!$G$1:$G$49,,0)</f>
        <v>1.2363</v>
      </c>
      <c r="Q702" s="13">
        <f t="shared" si="51"/>
        <v>2.4725999999999999</v>
      </c>
      <c r="R702" t="str">
        <f t="shared" si="53"/>
        <v>Liberica</v>
      </c>
      <c r="S702" t="str">
        <f t="shared" si="54"/>
        <v>Light</v>
      </c>
      <c r="T702" t="str">
        <f>_xlfn.XLOOKUP(Orders[[#This Row],[Customer ID]],customers!$A$1:$A$1001,customers!$I$1:$I$1001,,0)</f>
        <v>No</v>
      </c>
    </row>
    <row r="703" spans="1:20" x14ac:dyDescent="0.35">
      <c r="A703" s="2" t="s">
        <v>4450</v>
      </c>
      <c r="B703" s="3">
        <v>44727</v>
      </c>
      <c r="C703" s="2" t="s">
        <v>4451</v>
      </c>
      <c r="D703" t="s">
        <v>6158</v>
      </c>
      <c r="E703" t="str">
        <f t="shared" si="52"/>
        <v>Arabica-Dark-0.5</v>
      </c>
      <c r="F703" s="2">
        <v>5</v>
      </c>
      <c r="G703" s="2" t="str" cm="1">
        <f t="array" ref="G703">_xlfn.XLOOKUP(C703, customers!$A$1:A1702,customers!$B$1:B1702,,0)</f>
        <v>Nathan Sictornes</v>
      </c>
      <c r="H703" s="2" t="str" cm="1">
        <f t="array" ref="H703">IF(_xlfn.XLOOKUP(C703,customers!$A$1:A1702,customers!$C$1:C1702,,0) = 0,"", _xlfn.XLOOKUP(C703,customers!$A$1:A1702,customers!$C$1:C1702,,0))</f>
        <v>nsictornesjh@buzzfeed.com</v>
      </c>
      <c r="I703" s="2" t="str">
        <f>_xlfn.XLOOKUP(C703,customers!$A$1:$A$1001,customers!$G$1:$G$1001,,0)</f>
        <v>Ireland</v>
      </c>
      <c r="J703" s="2" t="str">
        <f>_xlfn.XLOOKUP(Orders[[#This Row],[Customer ID]],customers!$A$1:$A$1001,customers!$F$1:$F$1001,,0)</f>
        <v>Sandyford</v>
      </c>
      <c r="K703" t="str">
        <f>INDEX(products!$A$1:$G$49,MATCH(orders!$D703,products!$A$1:$A$49,0),MATCH(orders!K$1,products!$A$1:$G$1,0))</f>
        <v>Ara</v>
      </c>
      <c r="L703" t="str">
        <f>INDEX(products!$A$1:$G$49,MATCH(orders!$D703,products!$A$1:$A$49,0),MATCH(orders!L$1,products!$A$1:$G$1,0))</f>
        <v>D</v>
      </c>
      <c r="M703" s="14">
        <f>INDEX(products!$A$1:$G$49,MATCH(orders!$D703,products!$A$1:$A$49,0),MATCH(orders!M$1,products!$A$1:$G$1,0))</f>
        <v>0.5</v>
      </c>
      <c r="N703" s="4">
        <f>INDEX(products!$A$1:$G$49,MATCH(orders!$D703,products!$A$1:$A$49,0),MATCH(orders!N$1,products!$A$1:$G$1,0))</f>
        <v>5.97</v>
      </c>
      <c r="O703" s="13">
        <f t="shared" si="50"/>
        <v>29.849999999999998</v>
      </c>
      <c r="P703" s="13">
        <f>_xlfn.XLOOKUP(Orders[[#This Row],[Product ID]],products!$A$1:$A$49,products!$G$1:$G$49,,0)</f>
        <v>0.5373</v>
      </c>
      <c r="Q703" s="13">
        <f t="shared" si="51"/>
        <v>2.6865000000000001</v>
      </c>
      <c r="R703" t="str">
        <f t="shared" si="53"/>
        <v>Arabica</v>
      </c>
      <c r="S703" t="str">
        <f t="shared" si="54"/>
        <v>Dark</v>
      </c>
      <c r="T703" t="str">
        <f>_xlfn.XLOOKUP(Orders[[#This Row],[Customer ID]],customers!$A$1:$A$1001,customers!$I$1:$I$1001,,0)</f>
        <v>Yes</v>
      </c>
    </row>
    <row r="704" spans="1:20" x14ac:dyDescent="0.35">
      <c r="A704" s="2" t="s">
        <v>4456</v>
      </c>
      <c r="B704" s="3">
        <v>43661</v>
      </c>
      <c r="C704" s="2" t="s">
        <v>4457</v>
      </c>
      <c r="D704" t="s">
        <v>6180</v>
      </c>
      <c r="E704" t="str">
        <f t="shared" si="52"/>
        <v>Arabica-Light-0.5</v>
      </c>
      <c r="F704" s="2">
        <v>1</v>
      </c>
      <c r="G704" s="2" t="str" cm="1">
        <f t="array" ref="G704">_xlfn.XLOOKUP(C704, customers!$A$1:A1703,customers!$B$1:B1703,,0)</f>
        <v>Vivyan Dunning</v>
      </c>
      <c r="H704" s="2" t="str" cm="1">
        <f t="array" ref="H704">IF(_xlfn.XLOOKUP(C704,customers!$A$1:A1703,customers!$C$1:C1703,,0) = 0,"", _xlfn.XLOOKUP(C704,customers!$A$1:A1703,customers!$C$1:C1703,,0))</f>
        <v>vdunningji@independent.co.uk</v>
      </c>
      <c r="I704" s="2" t="str">
        <f>_xlfn.XLOOKUP(C704,customers!$A$1:$A$1001,customers!$G$1:$G$1001,,0)</f>
        <v>United States</v>
      </c>
      <c r="J704" s="2" t="str">
        <f>_xlfn.XLOOKUP(Orders[[#This Row],[Customer ID]],customers!$A$1:$A$1001,customers!$F$1:$F$1001,,0)</f>
        <v>Punta Gorda</v>
      </c>
      <c r="K704" t="str">
        <f>INDEX(products!$A$1:$G$49,MATCH(orders!$D704,products!$A$1:$A$49,0),MATCH(orders!K$1,products!$A$1:$G$1,0))</f>
        <v>Ara</v>
      </c>
      <c r="L704" t="str">
        <f>INDEX(products!$A$1:$G$49,MATCH(orders!$D704,products!$A$1:$A$49,0),MATCH(orders!L$1,products!$A$1:$G$1,0))</f>
        <v>L</v>
      </c>
      <c r="M704" s="14">
        <f>INDEX(products!$A$1:$G$49,MATCH(orders!$D704,products!$A$1:$A$49,0),MATCH(orders!M$1,products!$A$1:$G$1,0))</f>
        <v>0.5</v>
      </c>
      <c r="N704" s="4">
        <f>INDEX(products!$A$1:$G$49,MATCH(orders!$D704,products!$A$1:$A$49,0),MATCH(orders!N$1,products!$A$1:$G$1,0))</f>
        <v>7.77</v>
      </c>
      <c r="O704" s="13">
        <f t="shared" si="50"/>
        <v>7.77</v>
      </c>
      <c r="P704" s="13">
        <f>_xlfn.XLOOKUP(Orders[[#This Row],[Product ID]],products!$A$1:$A$49,products!$G$1:$G$49,,0)</f>
        <v>0.69929999999999992</v>
      </c>
      <c r="Q704" s="13">
        <f t="shared" si="51"/>
        <v>0.69929999999999992</v>
      </c>
      <c r="R704" t="str">
        <f t="shared" si="53"/>
        <v>Arabica</v>
      </c>
      <c r="S704" t="str">
        <f t="shared" si="54"/>
        <v>Light</v>
      </c>
      <c r="T704" t="str">
        <f>_xlfn.XLOOKUP(Orders[[#This Row],[Customer ID]],customers!$A$1:$A$1001,customers!$I$1:$I$1001,,0)</f>
        <v>Yes</v>
      </c>
    </row>
    <row r="705" spans="1:20" x14ac:dyDescent="0.35">
      <c r="A705" s="2" t="s">
        <v>4461</v>
      </c>
      <c r="B705" s="3">
        <v>43506</v>
      </c>
      <c r="C705" s="2" t="s">
        <v>4462</v>
      </c>
      <c r="D705" t="s">
        <v>6165</v>
      </c>
      <c r="E705" t="str">
        <f t="shared" si="52"/>
        <v>Liberica-Dark-2.5</v>
      </c>
      <c r="F705" s="2">
        <v>4</v>
      </c>
      <c r="G705" s="2" t="str" cm="1">
        <f t="array" ref="G705">_xlfn.XLOOKUP(C705, customers!$A$1:A1704,customers!$B$1:B1704,,0)</f>
        <v>Doralin Baison</v>
      </c>
      <c r="H705" s="2" t="str" cm="1">
        <f t="array" ref="H705">IF(_xlfn.XLOOKUP(C705,customers!$A$1:A1704,customers!$C$1:C1704,,0) = 0,"", _xlfn.XLOOKUP(C705,customers!$A$1:A1704,customers!$C$1:C1704,,0))</f>
        <v/>
      </c>
      <c r="I705" s="2" t="str">
        <f>_xlfn.XLOOKUP(C705,customers!$A$1:$A$1001,customers!$G$1:$G$1001,,0)</f>
        <v>Ireland</v>
      </c>
      <c r="J705" s="2" t="str">
        <f>_xlfn.XLOOKUP(Orders[[#This Row],[Customer ID]],customers!$A$1:$A$1001,customers!$F$1:$F$1001,,0)</f>
        <v>Ballivor</v>
      </c>
      <c r="K705" t="str">
        <f>INDEX(products!$A$1:$G$49,MATCH(orders!$D705,products!$A$1:$A$49,0),MATCH(orders!K$1,products!$A$1:$G$1,0))</f>
        <v>Lib</v>
      </c>
      <c r="L705" t="str">
        <f>INDEX(products!$A$1:$G$49,MATCH(orders!$D705,products!$A$1:$A$49,0),MATCH(orders!L$1,products!$A$1:$G$1,0))</f>
        <v>D</v>
      </c>
      <c r="M705" s="14">
        <f>INDEX(products!$A$1:$G$49,MATCH(orders!$D705,products!$A$1:$A$49,0),MATCH(orders!M$1,products!$A$1:$G$1,0))</f>
        <v>2.5</v>
      </c>
      <c r="N705" s="4">
        <f>INDEX(products!$A$1:$G$49,MATCH(orders!$D705,products!$A$1:$A$49,0),MATCH(orders!N$1,products!$A$1:$G$1,0))</f>
        <v>29.784999999999997</v>
      </c>
      <c r="O705" s="13">
        <f t="shared" si="50"/>
        <v>119.13999999999999</v>
      </c>
      <c r="P705" s="13">
        <f>_xlfn.XLOOKUP(Orders[[#This Row],[Product ID]],products!$A$1:$A$49,products!$G$1:$G$49,,0)</f>
        <v>3.8720499999999998</v>
      </c>
      <c r="Q705" s="13">
        <f t="shared" si="51"/>
        <v>15.488199999999999</v>
      </c>
      <c r="R705" t="str">
        <f t="shared" si="53"/>
        <v>Liberica</v>
      </c>
      <c r="S705" t="str">
        <f t="shared" si="54"/>
        <v>Dark</v>
      </c>
      <c r="T705" t="str">
        <f>_xlfn.XLOOKUP(Orders[[#This Row],[Customer ID]],customers!$A$1:$A$1001,customers!$I$1:$I$1001,,0)</f>
        <v>Yes</v>
      </c>
    </row>
    <row r="706" spans="1:20" x14ac:dyDescent="0.35">
      <c r="A706" s="2" t="s">
        <v>4466</v>
      </c>
      <c r="B706" s="3">
        <v>44716</v>
      </c>
      <c r="C706" s="2" t="s">
        <v>4467</v>
      </c>
      <c r="D706" t="s">
        <v>6153</v>
      </c>
      <c r="E706" t="str">
        <f t="shared" si="52"/>
        <v>Excelsa-Dark-0.2</v>
      </c>
      <c r="F706" s="2">
        <v>6</v>
      </c>
      <c r="G706" s="2" t="str" cm="1">
        <f t="array" ref="G706">_xlfn.XLOOKUP(C706, customers!$A$1:A1705,customers!$B$1:B1705,,0)</f>
        <v>Josefina Ferens</v>
      </c>
      <c r="H706" s="2" t="str" cm="1">
        <f t="array" ref="H706">IF(_xlfn.XLOOKUP(C706,customers!$A$1:A1705,customers!$C$1:C1705,,0) = 0,"", _xlfn.XLOOKUP(C706,customers!$A$1:A1705,customers!$C$1:C1705,,0))</f>
        <v/>
      </c>
      <c r="I706" s="2" t="str">
        <f>_xlfn.XLOOKUP(C706,customers!$A$1:$A$1001,customers!$G$1:$G$1001,,0)</f>
        <v>United States</v>
      </c>
      <c r="J706" s="2" t="str">
        <f>_xlfn.XLOOKUP(Orders[[#This Row],[Customer ID]],customers!$A$1:$A$1001,customers!$F$1:$F$1001,,0)</f>
        <v>New York City</v>
      </c>
      <c r="K706" t="str">
        <f>INDEX(products!$A$1:$G$49,MATCH(orders!$D706,products!$A$1:$A$49,0),MATCH(orders!K$1,products!$A$1:$G$1,0))</f>
        <v>Exc</v>
      </c>
      <c r="L706" t="str">
        <f>INDEX(products!$A$1:$G$49,MATCH(orders!$D706,products!$A$1:$A$49,0),MATCH(orders!L$1,products!$A$1:$G$1,0))</f>
        <v>D</v>
      </c>
      <c r="M706" s="14">
        <f>INDEX(products!$A$1:$G$49,MATCH(orders!$D706,products!$A$1:$A$49,0),MATCH(orders!M$1,products!$A$1:$G$1,0))</f>
        <v>0.2</v>
      </c>
      <c r="N706" s="4">
        <f>INDEX(products!$A$1:$G$49,MATCH(orders!$D706,products!$A$1:$A$49,0),MATCH(orders!N$1,products!$A$1:$G$1,0))</f>
        <v>3.645</v>
      </c>
      <c r="O706" s="13">
        <f t="shared" ref="O706:O769" si="55">N706*F706</f>
        <v>21.87</v>
      </c>
      <c r="P706" s="13">
        <f>_xlfn.XLOOKUP(Orders[[#This Row],[Product ID]],products!$A$1:$A$49,products!$G$1:$G$49,,0)</f>
        <v>0.40095000000000003</v>
      </c>
      <c r="Q706" s="13">
        <f t="shared" ref="Q706:Q769" si="56">P706*F706</f>
        <v>2.4057000000000004</v>
      </c>
      <c r="R706" t="str">
        <f t="shared" si="53"/>
        <v>Execelsa</v>
      </c>
      <c r="S706" t="str">
        <f t="shared" si="54"/>
        <v>Dark</v>
      </c>
      <c r="T706" t="str">
        <f>_xlfn.XLOOKUP(Orders[[#This Row],[Customer ID]],customers!$A$1:$A$1001,customers!$I$1:$I$1001,,0)</f>
        <v>Yes</v>
      </c>
    </row>
    <row r="707" spans="1:20" x14ac:dyDescent="0.35">
      <c r="A707" s="2" t="s">
        <v>4471</v>
      </c>
      <c r="B707" s="3">
        <v>44114</v>
      </c>
      <c r="C707" s="2" t="s">
        <v>4472</v>
      </c>
      <c r="D707" t="s">
        <v>6176</v>
      </c>
      <c r="E707" t="str">
        <f t="shared" ref="E707:E770" si="57">IF(LEFT(D707,1)="R", "Robusta",
    IF(LEFT(D707,1)="A", "Arabica",
        IF(LEFT(D707,1)="E", "Excelsa",
            IF(LEFT(D707,1)="L", "Liberica", "")
        )
    )
) &amp; "-" &amp;
IF(MID(D707,3,1)="D", "Dark",
    IF(MID(D707,3,1)="M", "Medium",
        IF(MID(D707,3,1)="L", "Light", "")
    )
) &amp; "-" &amp;
MID(D707,5,LEN(D707)-4)</f>
        <v>Excelsa-Light-0.5</v>
      </c>
      <c r="F707" s="2">
        <v>2</v>
      </c>
      <c r="G707" s="2" t="str" cm="1">
        <f t="array" ref="G707">_xlfn.XLOOKUP(C707, customers!$A$1:A1706,customers!$B$1:B1706,,0)</f>
        <v>Shelley Gehring</v>
      </c>
      <c r="H707" s="2" t="str" cm="1">
        <f t="array" ref="H707">IF(_xlfn.XLOOKUP(C707,customers!$A$1:A1706,customers!$C$1:C1706,,0) = 0,"", _xlfn.XLOOKUP(C707,customers!$A$1:A1706,customers!$C$1:C1706,,0))</f>
        <v>sgehringjl@gnu.org</v>
      </c>
      <c r="I707" s="2" t="str">
        <f>_xlfn.XLOOKUP(C707,customers!$A$1:$A$1001,customers!$G$1:$G$1001,,0)</f>
        <v>United States</v>
      </c>
      <c r="J707" s="2" t="str">
        <f>_xlfn.XLOOKUP(Orders[[#This Row],[Customer ID]],customers!$A$1:$A$1001,customers!$F$1:$F$1001,,0)</f>
        <v>Spartanburg</v>
      </c>
      <c r="K707" t="str">
        <f>INDEX(products!$A$1:$G$49,MATCH(orders!$D707,products!$A$1:$A$49,0),MATCH(orders!K$1,products!$A$1:$G$1,0))</f>
        <v>Exc</v>
      </c>
      <c r="L707" t="str">
        <f>INDEX(products!$A$1:$G$49,MATCH(orders!$D707,products!$A$1:$A$49,0),MATCH(orders!L$1,products!$A$1:$G$1,0))</f>
        <v>L</v>
      </c>
      <c r="M707" s="14">
        <f>INDEX(products!$A$1:$G$49,MATCH(orders!$D707,products!$A$1:$A$49,0),MATCH(orders!M$1,products!$A$1:$G$1,0))</f>
        <v>0.5</v>
      </c>
      <c r="N707" s="4">
        <f>INDEX(products!$A$1:$G$49,MATCH(orders!$D707,products!$A$1:$A$49,0),MATCH(orders!N$1,products!$A$1:$G$1,0))</f>
        <v>8.91</v>
      </c>
      <c r="O707" s="13">
        <f t="shared" si="55"/>
        <v>17.82</v>
      </c>
      <c r="P707" s="13">
        <f>_xlfn.XLOOKUP(Orders[[#This Row],[Product ID]],products!$A$1:$A$49,products!$G$1:$G$49,,0)</f>
        <v>0.98009999999999997</v>
      </c>
      <c r="Q707" s="13">
        <f t="shared" si="56"/>
        <v>1.9601999999999999</v>
      </c>
      <c r="R707" t="str">
        <f t="shared" ref="R707:R770" si="58">IF(K707="Rob","Robusta",IF(K707="Exc","Execelsa",IF(K707="Ara","Arabica",IF(K707="Lib","Liberica",""))))</f>
        <v>Execelsa</v>
      </c>
      <c r="S707" t="str">
        <f t="shared" ref="S707:S770" si="59" xml:space="preserve"> IF(L707="M", "Medium", IF(L707="L","Light",IF(L707="D","Dark","")))</f>
        <v>Light</v>
      </c>
      <c r="T707" t="str">
        <f>_xlfn.XLOOKUP(Orders[[#This Row],[Customer ID]],customers!$A$1:$A$1001,customers!$I$1:$I$1001,,0)</f>
        <v>No</v>
      </c>
    </row>
    <row r="708" spans="1:20" x14ac:dyDescent="0.35">
      <c r="A708" s="2" t="s">
        <v>4477</v>
      </c>
      <c r="B708" s="3">
        <v>44353</v>
      </c>
      <c r="C708" s="2" t="s">
        <v>4478</v>
      </c>
      <c r="D708" t="s">
        <v>6156</v>
      </c>
      <c r="E708" t="str">
        <f t="shared" si="57"/>
        <v>Excelsa-Medium-0.2</v>
      </c>
      <c r="F708" s="2">
        <v>3</v>
      </c>
      <c r="G708" s="2" t="str" cm="1">
        <f t="array" ref="G708">_xlfn.XLOOKUP(C708, customers!$A$1:A1707,customers!$B$1:B1707,,0)</f>
        <v>Barrie Fallowes</v>
      </c>
      <c r="H708" s="2" t="str" cm="1">
        <f t="array" ref="H708">IF(_xlfn.XLOOKUP(C708,customers!$A$1:A1707,customers!$C$1:C1707,,0) = 0,"", _xlfn.XLOOKUP(C708,customers!$A$1:A1707,customers!$C$1:C1707,,0))</f>
        <v>bfallowesjm@purevolume.com</v>
      </c>
      <c r="I708" s="2" t="str">
        <f>_xlfn.XLOOKUP(C708,customers!$A$1:$A$1001,customers!$G$1:$G$1001,,0)</f>
        <v>United States</v>
      </c>
      <c r="J708" s="2" t="str">
        <f>_xlfn.XLOOKUP(Orders[[#This Row],[Customer ID]],customers!$A$1:$A$1001,customers!$F$1:$F$1001,,0)</f>
        <v>Bakersfield</v>
      </c>
      <c r="K708" t="str">
        <f>INDEX(products!$A$1:$G$49,MATCH(orders!$D708,products!$A$1:$A$49,0),MATCH(orders!K$1,products!$A$1:$G$1,0))</f>
        <v>Exc</v>
      </c>
      <c r="L708" t="str">
        <f>INDEX(products!$A$1:$G$49,MATCH(orders!$D708,products!$A$1:$A$49,0),MATCH(orders!L$1,products!$A$1:$G$1,0))</f>
        <v>M</v>
      </c>
      <c r="M708" s="14">
        <f>INDEX(products!$A$1:$G$49,MATCH(orders!$D708,products!$A$1:$A$49,0),MATCH(orders!M$1,products!$A$1:$G$1,0))</f>
        <v>0.2</v>
      </c>
      <c r="N708" s="4">
        <f>INDEX(products!$A$1:$G$49,MATCH(orders!$D708,products!$A$1:$A$49,0),MATCH(orders!N$1,products!$A$1:$G$1,0))</f>
        <v>4.125</v>
      </c>
      <c r="O708" s="13">
        <f t="shared" si="55"/>
        <v>12.375</v>
      </c>
      <c r="P708" s="13">
        <f>_xlfn.XLOOKUP(Orders[[#This Row],[Product ID]],products!$A$1:$A$49,products!$G$1:$G$49,,0)</f>
        <v>0.45374999999999999</v>
      </c>
      <c r="Q708" s="13">
        <f t="shared" si="56"/>
        <v>1.3612500000000001</v>
      </c>
      <c r="R708" t="str">
        <f t="shared" si="58"/>
        <v>Execelsa</v>
      </c>
      <c r="S708" t="str">
        <f t="shared" si="59"/>
        <v>Medium</v>
      </c>
      <c r="T708" t="str">
        <f>_xlfn.XLOOKUP(Orders[[#This Row],[Customer ID]],customers!$A$1:$A$1001,customers!$I$1:$I$1001,,0)</f>
        <v>No</v>
      </c>
    </row>
    <row r="709" spans="1:20" x14ac:dyDescent="0.35">
      <c r="A709" s="2" t="s">
        <v>4483</v>
      </c>
      <c r="B709" s="3">
        <v>43540</v>
      </c>
      <c r="C709" s="2" t="s">
        <v>4484</v>
      </c>
      <c r="D709" t="s">
        <v>6143</v>
      </c>
      <c r="E709" t="str">
        <f t="shared" si="57"/>
        <v>Liberica-Dark-1</v>
      </c>
      <c r="F709" s="2">
        <v>2</v>
      </c>
      <c r="G709" s="2" t="str" cm="1">
        <f t="array" ref="G709">_xlfn.XLOOKUP(C709, customers!$A$1:A1708,customers!$B$1:B1708,,0)</f>
        <v>Nicolas Aiton</v>
      </c>
      <c r="H709" s="2" t="str" cm="1">
        <f t="array" ref="H709">IF(_xlfn.XLOOKUP(C709,customers!$A$1:A1708,customers!$C$1:C1708,,0) = 0,"", _xlfn.XLOOKUP(C709,customers!$A$1:A1708,customers!$C$1:C1708,,0))</f>
        <v/>
      </c>
      <c r="I709" s="2" t="str">
        <f>_xlfn.XLOOKUP(C709,customers!$A$1:$A$1001,customers!$G$1:$G$1001,,0)</f>
        <v>Ireland</v>
      </c>
      <c r="J709" s="2" t="str">
        <f>_xlfn.XLOOKUP(Orders[[#This Row],[Customer ID]],customers!$A$1:$A$1001,customers!$F$1:$F$1001,,0)</f>
        <v>Dungarvan</v>
      </c>
      <c r="K709" t="str">
        <f>INDEX(products!$A$1:$G$49,MATCH(orders!$D709,products!$A$1:$A$49,0),MATCH(orders!K$1,products!$A$1:$G$1,0))</f>
        <v>Lib</v>
      </c>
      <c r="L709" t="str">
        <f>INDEX(products!$A$1:$G$49,MATCH(orders!$D709,products!$A$1:$A$49,0),MATCH(orders!L$1,products!$A$1:$G$1,0))</f>
        <v>D</v>
      </c>
      <c r="M709" s="14">
        <f>INDEX(products!$A$1:$G$49,MATCH(orders!$D709,products!$A$1:$A$49,0),MATCH(orders!M$1,products!$A$1:$G$1,0))</f>
        <v>1</v>
      </c>
      <c r="N709" s="4">
        <f>INDEX(products!$A$1:$G$49,MATCH(orders!$D709,products!$A$1:$A$49,0),MATCH(orders!N$1,products!$A$1:$G$1,0))</f>
        <v>12.95</v>
      </c>
      <c r="O709" s="13">
        <f t="shared" si="55"/>
        <v>25.9</v>
      </c>
      <c r="P709" s="13">
        <f>_xlfn.XLOOKUP(Orders[[#This Row],[Product ID]],products!$A$1:$A$49,products!$G$1:$G$49,,0)</f>
        <v>1.6835</v>
      </c>
      <c r="Q709" s="13">
        <f t="shared" si="56"/>
        <v>3.367</v>
      </c>
      <c r="R709" t="str">
        <f t="shared" si="58"/>
        <v>Liberica</v>
      </c>
      <c r="S709" t="str">
        <f t="shared" si="59"/>
        <v>Dark</v>
      </c>
      <c r="T709" t="str">
        <f>_xlfn.XLOOKUP(Orders[[#This Row],[Customer ID]],customers!$A$1:$A$1001,customers!$I$1:$I$1001,,0)</f>
        <v>No</v>
      </c>
    </row>
    <row r="710" spans="1:20" x14ac:dyDescent="0.35">
      <c r="A710" s="2" t="s">
        <v>4488</v>
      </c>
      <c r="B710" s="3">
        <v>43804</v>
      </c>
      <c r="C710" s="2" t="s">
        <v>4489</v>
      </c>
      <c r="D710" t="s">
        <v>6157</v>
      </c>
      <c r="E710" t="str">
        <f t="shared" si="57"/>
        <v>Arabica-Medium-0.5</v>
      </c>
      <c r="F710" s="2">
        <v>2</v>
      </c>
      <c r="G710" s="2" t="str" cm="1">
        <f t="array" ref="G710">_xlfn.XLOOKUP(C710, customers!$A$1:A1709,customers!$B$1:B1709,,0)</f>
        <v>Shelli De Banke</v>
      </c>
      <c r="H710" s="2" t="str" cm="1">
        <f t="array" ref="H710">IF(_xlfn.XLOOKUP(C710,customers!$A$1:A1709,customers!$C$1:C1709,,0) = 0,"", _xlfn.XLOOKUP(C710,customers!$A$1:A1709,customers!$C$1:C1709,,0))</f>
        <v>sdejo@newsvine.com</v>
      </c>
      <c r="I710" s="2" t="str">
        <f>_xlfn.XLOOKUP(C710,customers!$A$1:$A$1001,customers!$G$1:$G$1001,,0)</f>
        <v>United States</v>
      </c>
      <c r="J710" s="2" t="str">
        <f>_xlfn.XLOOKUP(Orders[[#This Row],[Customer ID]],customers!$A$1:$A$1001,customers!$F$1:$F$1001,,0)</f>
        <v>Saint Louis</v>
      </c>
      <c r="K710" t="str">
        <f>INDEX(products!$A$1:$G$49,MATCH(orders!$D710,products!$A$1:$A$49,0),MATCH(orders!K$1,products!$A$1:$G$1,0))</f>
        <v>Ara</v>
      </c>
      <c r="L710" t="str">
        <f>INDEX(products!$A$1:$G$49,MATCH(orders!$D710,products!$A$1:$A$49,0),MATCH(orders!L$1,products!$A$1:$G$1,0))</f>
        <v>M</v>
      </c>
      <c r="M710" s="14">
        <f>INDEX(products!$A$1:$G$49,MATCH(orders!$D710,products!$A$1:$A$49,0),MATCH(orders!M$1,products!$A$1:$G$1,0))</f>
        <v>0.5</v>
      </c>
      <c r="N710" s="4">
        <f>INDEX(products!$A$1:$G$49,MATCH(orders!$D710,products!$A$1:$A$49,0),MATCH(orders!N$1,products!$A$1:$G$1,0))</f>
        <v>6.75</v>
      </c>
      <c r="O710" s="13">
        <f t="shared" si="55"/>
        <v>13.5</v>
      </c>
      <c r="P710" s="13">
        <f>_xlfn.XLOOKUP(Orders[[#This Row],[Product ID]],products!$A$1:$A$49,products!$G$1:$G$49,,0)</f>
        <v>0.60749999999999993</v>
      </c>
      <c r="Q710" s="13">
        <f t="shared" si="56"/>
        <v>1.2149999999999999</v>
      </c>
      <c r="R710" t="str">
        <f t="shared" si="58"/>
        <v>Arabica</v>
      </c>
      <c r="S710" t="str">
        <f t="shared" si="59"/>
        <v>Medium</v>
      </c>
      <c r="T710" t="str">
        <f>_xlfn.XLOOKUP(Orders[[#This Row],[Customer ID]],customers!$A$1:$A$1001,customers!$I$1:$I$1001,,0)</f>
        <v>Yes</v>
      </c>
    </row>
    <row r="711" spans="1:20" x14ac:dyDescent="0.35">
      <c r="A711" s="2" t="s">
        <v>4494</v>
      </c>
      <c r="B711" s="3">
        <v>43485</v>
      </c>
      <c r="C711" s="2" t="s">
        <v>4495</v>
      </c>
      <c r="D711" t="s">
        <v>6176</v>
      </c>
      <c r="E711" t="str">
        <f t="shared" si="57"/>
        <v>Excelsa-Light-0.5</v>
      </c>
      <c r="F711" s="2">
        <v>2</v>
      </c>
      <c r="G711" s="2" t="str" cm="1">
        <f t="array" ref="G711">_xlfn.XLOOKUP(C711, customers!$A$1:A1710,customers!$B$1:B1710,,0)</f>
        <v>Lyell Murch</v>
      </c>
      <c r="H711" s="2" t="str" cm="1">
        <f t="array" ref="H711">IF(_xlfn.XLOOKUP(C711,customers!$A$1:A1710,customers!$C$1:C1710,,0) = 0,"", _xlfn.XLOOKUP(C711,customers!$A$1:A1710,customers!$C$1:C1710,,0))</f>
        <v/>
      </c>
      <c r="I711" s="2" t="str">
        <f>_xlfn.XLOOKUP(C711,customers!$A$1:$A$1001,customers!$G$1:$G$1001,,0)</f>
        <v>United States</v>
      </c>
      <c r="J711" s="2" t="str">
        <f>_xlfn.XLOOKUP(Orders[[#This Row],[Customer ID]],customers!$A$1:$A$1001,customers!$F$1:$F$1001,,0)</f>
        <v>Fort Wayne</v>
      </c>
      <c r="K711" t="str">
        <f>INDEX(products!$A$1:$G$49,MATCH(orders!$D711,products!$A$1:$A$49,0),MATCH(orders!K$1,products!$A$1:$G$1,0))</f>
        <v>Exc</v>
      </c>
      <c r="L711" t="str">
        <f>INDEX(products!$A$1:$G$49,MATCH(orders!$D711,products!$A$1:$A$49,0),MATCH(orders!L$1,products!$A$1:$G$1,0))</f>
        <v>L</v>
      </c>
      <c r="M711" s="14">
        <f>INDEX(products!$A$1:$G$49,MATCH(orders!$D711,products!$A$1:$A$49,0),MATCH(orders!M$1,products!$A$1:$G$1,0))</f>
        <v>0.5</v>
      </c>
      <c r="N711" s="4">
        <f>INDEX(products!$A$1:$G$49,MATCH(orders!$D711,products!$A$1:$A$49,0),MATCH(orders!N$1,products!$A$1:$G$1,0))</f>
        <v>8.91</v>
      </c>
      <c r="O711" s="13">
        <f t="shared" si="55"/>
        <v>17.82</v>
      </c>
      <c r="P711" s="13">
        <f>_xlfn.XLOOKUP(Orders[[#This Row],[Product ID]],products!$A$1:$A$49,products!$G$1:$G$49,,0)</f>
        <v>0.98009999999999997</v>
      </c>
      <c r="Q711" s="13">
        <f t="shared" si="56"/>
        <v>1.9601999999999999</v>
      </c>
      <c r="R711" t="str">
        <f t="shared" si="58"/>
        <v>Execelsa</v>
      </c>
      <c r="S711" t="str">
        <f t="shared" si="59"/>
        <v>Light</v>
      </c>
      <c r="T711" t="str">
        <f>_xlfn.XLOOKUP(Orders[[#This Row],[Customer ID]],customers!$A$1:$A$1001,customers!$I$1:$I$1001,,0)</f>
        <v>Yes</v>
      </c>
    </row>
    <row r="712" spans="1:20" x14ac:dyDescent="0.35">
      <c r="A712" s="2" t="s">
        <v>4499</v>
      </c>
      <c r="B712" s="3">
        <v>44655</v>
      </c>
      <c r="C712" s="2" t="s">
        <v>4500</v>
      </c>
      <c r="D712" t="s">
        <v>6139</v>
      </c>
      <c r="E712" t="str">
        <f t="shared" si="57"/>
        <v>Excelsa-Medium-0.5</v>
      </c>
      <c r="F712" s="2">
        <v>3</v>
      </c>
      <c r="G712" s="2" t="str" cm="1">
        <f t="array" ref="G712">_xlfn.XLOOKUP(C712, customers!$A$1:A1711,customers!$B$1:B1711,,0)</f>
        <v>Stearne Count</v>
      </c>
      <c r="H712" s="2" t="str" cm="1">
        <f t="array" ref="H712">IF(_xlfn.XLOOKUP(C712,customers!$A$1:A1711,customers!$C$1:C1711,,0) = 0,"", _xlfn.XLOOKUP(C712,customers!$A$1:A1711,customers!$C$1:C1711,,0))</f>
        <v>scountjq@nba.com</v>
      </c>
      <c r="I712" s="2" t="str">
        <f>_xlfn.XLOOKUP(C712,customers!$A$1:$A$1001,customers!$G$1:$G$1001,,0)</f>
        <v>United States</v>
      </c>
      <c r="J712" s="2" t="str">
        <f>_xlfn.XLOOKUP(Orders[[#This Row],[Customer ID]],customers!$A$1:$A$1001,customers!$F$1:$F$1001,,0)</f>
        <v>Young America</v>
      </c>
      <c r="K712" t="str">
        <f>INDEX(products!$A$1:$G$49,MATCH(orders!$D712,products!$A$1:$A$49,0),MATCH(orders!K$1,products!$A$1:$G$1,0))</f>
        <v>Exc</v>
      </c>
      <c r="L712" t="str">
        <f>INDEX(products!$A$1:$G$49,MATCH(orders!$D712,products!$A$1:$A$49,0),MATCH(orders!L$1,products!$A$1:$G$1,0))</f>
        <v>M</v>
      </c>
      <c r="M712" s="14">
        <f>INDEX(products!$A$1:$G$49,MATCH(orders!$D712,products!$A$1:$A$49,0),MATCH(orders!M$1,products!$A$1:$G$1,0))</f>
        <v>0.5</v>
      </c>
      <c r="N712" s="4">
        <f>INDEX(products!$A$1:$G$49,MATCH(orders!$D712,products!$A$1:$A$49,0),MATCH(orders!N$1,products!$A$1:$G$1,0))</f>
        <v>8.25</v>
      </c>
      <c r="O712" s="13">
        <f t="shared" si="55"/>
        <v>24.75</v>
      </c>
      <c r="P712" s="13">
        <f>_xlfn.XLOOKUP(Orders[[#This Row],[Product ID]],products!$A$1:$A$49,products!$G$1:$G$49,,0)</f>
        <v>0.90749999999999997</v>
      </c>
      <c r="Q712" s="13">
        <f t="shared" si="56"/>
        <v>2.7225000000000001</v>
      </c>
      <c r="R712" t="str">
        <f t="shared" si="58"/>
        <v>Execelsa</v>
      </c>
      <c r="S712" t="str">
        <f t="shared" si="59"/>
        <v>Medium</v>
      </c>
      <c r="T712" t="str">
        <f>_xlfn.XLOOKUP(Orders[[#This Row],[Customer ID]],customers!$A$1:$A$1001,customers!$I$1:$I$1001,,0)</f>
        <v>No</v>
      </c>
    </row>
    <row r="713" spans="1:20" x14ac:dyDescent="0.35">
      <c r="A713" s="2" t="s">
        <v>4505</v>
      </c>
      <c r="B713" s="3">
        <v>44600</v>
      </c>
      <c r="C713" s="2" t="s">
        <v>4506</v>
      </c>
      <c r="D713" t="s">
        <v>6174</v>
      </c>
      <c r="E713" t="str">
        <f t="shared" si="57"/>
        <v>Robusta-Medium-0.2</v>
      </c>
      <c r="F713" s="2">
        <v>6</v>
      </c>
      <c r="G713" s="2" t="str" cm="1">
        <f t="array" ref="G713">_xlfn.XLOOKUP(C713, customers!$A$1:A1712,customers!$B$1:B1712,,0)</f>
        <v>Selia Ragles</v>
      </c>
      <c r="H713" s="2" t="str" cm="1">
        <f t="array" ref="H713">IF(_xlfn.XLOOKUP(C713,customers!$A$1:A1712,customers!$C$1:C1712,,0) = 0,"", _xlfn.XLOOKUP(C713,customers!$A$1:A1712,customers!$C$1:C1712,,0))</f>
        <v>sraglesjr@blogtalkradio.com</v>
      </c>
      <c r="I713" s="2" t="str">
        <f>_xlfn.XLOOKUP(C713,customers!$A$1:$A$1001,customers!$G$1:$G$1001,,0)</f>
        <v>United States</v>
      </c>
      <c r="J713" s="2" t="str">
        <f>_xlfn.XLOOKUP(Orders[[#This Row],[Customer ID]],customers!$A$1:$A$1001,customers!$F$1:$F$1001,,0)</f>
        <v>Fort Smith</v>
      </c>
      <c r="K713" t="str">
        <f>INDEX(products!$A$1:$G$49,MATCH(orders!$D713,products!$A$1:$A$49,0),MATCH(orders!K$1,products!$A$1:$G$1,0))</f>
        <v>Rob</v>
      </c>
      <c r="L713" t="str">
        <f>INDEX(products!$A$1:$G$49,MATCH(orders!$D713,products!$A$1:$A$49,0),MATCH(orders!L$1,products!$A$1:$G$1,0))</f>
        <v>M</v>
      </c>
      <c r="M713" s="14">
        <f>INDEX(products!$A$1:$G$49,MATCH(orders!$D713,products!$A$1:$A$49,0),MATCH(orders!M$1,products!$A$1:$G$1,0))</f>
        <v>0.2</v>
      </c>
      <c r="N713" s="4">
        <f>INDEX(products!$A$1:$G$49,MATCH(orders!$D713,products!$A$1:$A$49,0),MATCH(orders!N$1,products!$A$1:$G$1,0))</f>
        <v>2.9849999999999999</v>
      </c>
      <c r="O713" s="13">
        <f t="shared" si="55"/>
        <v>17.91</v>
      </c>
      <c r="P713" s="13">
        <f>_xlfn.XLOOKUP(Orders[[#This Row],[Product ID]],products!$A$1:$A$49,products!$G$1:$G$49,,0)</f>
        <v>0.17909999999999998</v>
      </c>
      <c r="Q713" s="13">
        <f t="shared" si="56"/>
        <v>1.0745999999999998</v>
      </c>
      <c r="R713" t="str">
        <f t="shared" si="58"/>
        <v>Robusta</v>
      </c>
      <c r="S713" t="str">
        <f t="shared" si="59"/>
        <v>Medium</v>
      </c>
      <c r="T713" t="str">
        <f>_xlfn.XLOOKUP(Orders[[#This Row],[Customer ID]],customers!$A$1:$A$1001,customers!$I$1:$I$1001,,0)</f>
        <v>No</v>
      </c>
    </row>
    <row r="714" spans="1:20" x14ac:dyDescent="0.35">
      <c r="A714" s="2" t="s">
        <v>4512</v>
      </c>
      <c r="B714" s="3">
        <v>43646</v>
      </c>
      <c r="C714" s="2" t="s">
        <v>4513</v>
      </c>
      <c r="D714" t="s">
        <v>6139</v>
      </c>
      <c r="E714" t="str">
        <f t="shared" si="57"/>
        <v>Excelsa-Medium-0.5</v>
      </c>
      <c r="F714" s="2">
        <v>2</v>
      </c>
      <c r="G714" s="2" t="str" cm="1">
        <f t="array" ref="G714">_xlfn.XLOOKUP(C714, customers!$A$1:A1713,customers!$B$1:B1713,,0)</f>
        <v>Silas Deehan</v>
      </c>
      <c r="H714" s="2" t="str" cm="1">
        <f t="array" ref="H714">IF(_xlfn.XLOOKUP(C714,customers!$A$1:A1713,customers!$C$1:C1713,,0) = 0,"", _xlfn.XLOOKUP(C714,customers!$A$1:A1713,customers!$C$1:C1713,,0))</f>
        <v/>
      </c>
      <c r="I714" s="2" t="str">
        <f>_xlfn.XLOOKUP(C714,customers!$A$1:$A$1001,customers!$G$1:$G$1001,,0)</f>
        <v>United Kingdom</v>
      </c>
      <c r="J714" s="2" t="str">
        <f>_xlfn.XLOOKUP(Orders[[#This Row],[Customer ID]],customers!$A$1:$A$1001,customers!$F$1:$F$1001,,0)</f>
        <v>Charlton</v>
      </c>
      <c r="K714" t="str">
        <f>INDEX(products!$A$1:$G$49,MATCH(orders!$D714,products!$A$1:$A$49,0),MATCH(orders!K$1,products!$A$1:$G$1,0))</f>
        <v>Exc</v>
      </c>
      <c r="L714" t="str">
        <f>INDEX(products!$A$1:$G$49,MATCH(orders!$D714,products!$A$1:$A$49,0),MATCH(orders!L$1,products!$A$1:$G$1,0))</f>
        <v>M</v>
      </c>
      <c r="M714" s="14">
        <f>INDEX(products!$A$1:$G$49,MATCH(orders!$D714,products!$A$1:$A$49,0),MATCH(orders!M$1,products!$A$1:$G$1,0))</f>
        <v>0.5</v>
      </c>
      <c r="N714" s="4">
        <f>INDEX(products!$A$1:$G$49,MATCH(orders!$D714,products!$A$1:$A$49,0),MATCH(orders!N$1,products!$A$1:$G$1,0))</f>
        <v>8.25</v>
      </c>
      <c r="O714" s="13">
        <f t="shared" si="55"/>
        <v>16.5</v>
      </c>
      <c r="P714" s="13">
        <f>_xlfn.XLOOKUP(Orders[[#This Row],[Product ID]],products!$A$1:$A$49,products!$G$1:$G$49,,0)</f>
        <v>0.90749999999999997</v>
      </c>
      <c r="Q714" s="13">
        <f t="shared" si="56"/>
        <v>1.8149999999999999</v>
      </c>
      <c r="R714" t="str">
        <f t="shared" si="58"/>
        <v>Execelsa</v>
      </c>
      <c r="S714" t="str">
        <f t="shared" si="59"/>
        <v>Medium</v>
      </c>
      <c r="T714" t="str">
        <f>_xlfn.XLOOKUP(Orders[[#This Row],[Customer ID]],customers!$A$1:$A$1001,customers!$I$1:$I$1001,,0)</f>
        <v>No</v>
      </c>
    </row>
    <row r="715" spans="1:20" x14ac:dyDescent="0.35">
      <c r="A715" s="2" t="s">
        <v>4516</v>
      </c>
      <c r="B715" s="3">
        <v>43960</v>
      </c>
      <c r="C715" s="2" t="s">
        <v>4517</v>
      </c>
      <c r="D715" t="s">
        <v>6174</v>
      </c>
      <c r="E715" t="str">
        <f t="shared" si="57"/>
        <v>Robusta-Medium-0.2</v>
      </c>
      <c r="F715" s="2">
        <v>1</v>
      </c>
      <c r="G715" s="2" t="str" cm="1">
        <f t="array" ref="G715">_xlfn.XLOOKUP(C715, customers!$A$1:A1714,customers!$B$1:B1714,,0)</f>
        <v>Sacha Bruun</v>
      </c>
      <c r="H715" s="2" t="str" cm="1">
        <f t="array" ref="H715">IF(_xlfn.XLOOKUP(C715,customers!$A$1:A1714,customers!$C$1:C1714,,0) = 0,"", _xlfn.XLOOKUP(C715,customers!$A$1:A1714,customers!$C$1:C1714,,0))</f>
        <v>sbruunjt@blogtalkradio.com</v>
      </c>
      <c r="I715" s="2" t="str">
        <f>_xlfn.XLOOKUP(C715,customers!$A$1:$A$1001,customers!$G$1:$G$1001,,0)</f>
        <v>United States</v>
      </c>
      <c r="J715" s="2" t="str">
        <f>_xlfn.XLOOKUP(Orders[[#This Row],[Customer ID]],customers!$A$1:$A$1001,customers!$F$1:$F$1001,,0)</f>
        <v>Stockton</v>
      </c>
      <c r="K715" t="str">
        <f>INDEX(products!$A$1:$G$49,MATCH(orders!$D715,products!$A$1:$A$49,0),MATCH(orders!K$1,products!$A$1:$G$1,0))</f>
        <v>Rob</v>
      </c>
      <c r="L715" t="str">
        <f>INDEX(products!$A$1:$G$49,MATCH(orders!$D715,products!$A$1:$A$49,0),MATCH(orders!L$1,products!$A$1:$G$1,0))</f>
        <v>M</v>
      </c>
      <c r="M715" s="14">
        <f>INDEX(products!$A$1:$G$49,MATCH(orders!$D715,products!$A$1:$A$49,0),MATCH(orders!M$1,products!$A$1:$G$1,0))</f>
        <v>0.2</v>
      </c>
      <c r="N715" s="4">
        <f>INDEX(products!$A$1:$G$49,MATCH(orders!$D715,products!$A$1:$A$49,0),MATCH(orders!N$1,products!$A$1:$G$1,0))</f>
        <v>2.9849999999999999</v>
      </c>
      <c r="O715" s="13">
        <f t="shared" si="55"/>
        <v>2.9849999999999999</v>
      </c>
      <c r="P715" s="13">
        <f>_xlfn.XLOOKUP(Orders[[#This Row],[Product ID]],products!$A$1:$A$49,products!$G$1:$G$49,,0)</f>
        <v>0.17909999999999998</v>
      </c>
      <c r="Q715" s="13">
        <f t="shared" si="56"/>
        <v>0.17909999999999998</v>
      </c>
      <c r="R715" t="str">
        <f t="shared" si="58"/>
        <v>Robusta</v>
      </c>
      <c r="S715" t="str">
        <f t="shared" si="59"/>
        <v>Medium</v>
      </c>
      <c r="T715" t="str">
        <f>_xlfn.XLOOKUP(Orders[[#This Row],[Customer ID]],customers!$A$1:$A$1001,customers!$I$1:$I$1001,,0)</f>
        <v>No</v>
      </c>
    </row>
    <row r="716" spans="1:20" x14ac:dyDescent="0.35">
      <c r="A716" s="2" t="s">
        <v>4522</v>
      </c>
      <c r="B716" s="3">
        <v>44358</v>
      </c>
      <c r="C716" s="2" t="s">
        <v>4523</v>
      </c>
      <c r="D716" t="s">
        <v>6153</v>
      </c>
      <c r="E716" t="str">
        <f t="shared" si="57"/>
        <v>Excelsa-Dark-0.2</v>
      </c>
      <c r="F716" s="2">
        <v>4</v>
      </c>
      <c r="G716" s="2" t="str" cm="1">
        <f t="array" ref="G716">_xlfn.XLOOKUP(C716, customers!$A$1:A1715,customers!$B$1:B1715,,0)</f>
        <v>Alon Pllu</v>
      </c>
      <c r="H716" s="2" t="str" cm="1">
        <f t="array" ref="H716">IF(_xlfn.XLOOKUP(C716,customers!$A$1:A1715,customers!$C$1:C1715,,0) = 0,"", _xlfn.XLOOKUP(C716,customers!$A$1:A1715,customers!$C$1:C1715,,0))</f>
        <v>aplluju@dagondesign.com</v>
      </c>
      <c r="I716" s="2" t="str">
        <f>_xlfn.XLOOKUP(C716,customers!$A$1:$A$1001,customers!$G$1:$G$1001,,0)</f>
        <v>Ireland</v>
      </c>
      <c r="J716" s="2" t="str">
        <f>_xlfn.XLOOKUP(Orders[[#This Row],[Customer ID]],customers!$A$1:$A$1001,customers!$F$1:$F$1001,,0)</f>
        <v>Navan</v>
      </c>
      <c r="K716" t="str">
        <f>INDEX(products!$A$1:$G$49,MATCH(orders!$D716,products!$A$1:$A$49,0),MATCH(orders!K$1,products!$A$1:$G$1,0))</f>
        <v>Exc</v>
      </c>
      <c r="L716" t="str">
        <f>INDEX(products!$A$1:$G$49,MATCH(orders!$D716,products!$A$1:$A$49,0),MATCH(orders!L$1,products!$A$1:$G$1,0))</f>
        <v>D</v>
      </c>
      <c r="M716" s="14">
        <f>INDEX(products!$A$1:$G$49,MATCH(orders!$D716,products!$A$1:$A$49,0),MATCH(orders!M$1,products!$A$1:$G$1,0))</f>
        <v>0.2</v>
      </c>
      <c r="N716" s="4">
        <f>INDEX(products!$A$1:$G$49,MATCH(orders!$D716,products!$A$1:$A$49,0),MATCH(orders!N$1,products!$A$1:$G$1,0))</f>
        <v>3.645</v>
      </c>
      <c r="O716" s="13">
        <f t="shared" si="55"/>
        <v>14.58</v>
      </c>
      <c r="P716" s="13">
        <f>_xlfn.XLOOKUP(Orders[[#This Row],[Product ID]],products!$A$1:$A$49,products!$G$1:$G$49,,0)</f>
        <v>0.40095000000000003</v>
      </c>
      <c r="Q716" s="13">
        <f t="shared" si="56"/>
        <v>1.6038000000000001</v>
      </c>
      <c r="R716" t="str">
        <f t="shared" si="58"/>
        <v>Execelsa</v>
      </c>
      <c r="S716" t="str">
        <f t="shared" si="59"/>
        <v>Dark</v>
      </c>
      <c r="T716" t="str">
        <f>_xlfn.XLOOKUP(Orders[[#This Row],[Customer ID]],customers!$A$1:$A$1001,customers!$I$1:$I$1001,,0)</f>
        <v>Yes</v>
      </c>
    </row>
    <row r="717" spans="1:20" x14ac:dyDescent="0.35">
      <c r="A717" s="2" t="s">
        <v>4528</v>
      </c>
      <c r="B717" s="3">
        <v>44504</v>
      </c>
      <c r="C717" s="2" t="s">
        <v>4529</v>
      </c>
      <c r="D717" t="s">
        <v>6171</v>
      </c>
      <c r="E717" t="str">
        <f t="shared" si="57"/>
        <v>Excelsa-Light-1</v>
      </c>
      <c r="F717" s="2">
        <v>6</v>
      </c>
      <c r="G717" s="2" t="str" cm="1">
        <f t="array" ref="G717">_xlfn.XLOOKUP(C717, customers!$A$1:A1716,customers!$B$1:B1716,,0)</f>
        <v>Gilberto Cornier</v>
      </c>
      <c r="H717" s="2" t="str" cm="1">
        <f t="array" ref="H717">IF(_xlfn.XLOOKUP(C717,customers!$A$1:A1716,customers!$C$1:C1716,,0) = 0,"", _xlfn.XLOOKUP(C717,customers!$A$1:A1716,customers!$C$1:C1716,,0))</f>
        <v>gcornierjv@techcrunch.com</v>
      </c>
      <c r="I717" s="2" t="str">
        <f>_xlfn.XLOOKUP(C717,customers!$A$1:$A$1001,customers!$G$1:$G$1001,,0)</f>
        <v>United States</v>
      </c>
      <c r="J717" s="2" t="str">
        <f>_xlfn.XLOOKUP(Orders[[#This Row],[Customer ID]],customers!$A$1:$A$1001,customers!$F$1:$F$1001,,0)</f>
        <v>Tampa</v>
      </c>
      <c r="K717" t="str">
        <f>INDEX(products!$A$1:$G$49,MATCH(orders!$D717,products!$A$1:$A$49,0),MATCH(orders!K$1,products!$A$1:$G$1,0))</f>
        <v>Exc</v>
      </c>
      <c r="L717" t="str">
        <f>INDEX(products!$A$1:$G$49,MATCH(orders!$D717,products!$A$1:$A$49,0),MATCH(orders!L$1,products!$A$1:$G$1,0))</f>
        <v>L</v>
      </c>
      <c r="M717" s="14">
        <f>INDEX(products!$A$1:$G$49,MATCH(orders!$D717,products!$A$1:$A$49,0),MATCH(orders!M$1,products!$A$1:$G$1,0))</f>
        <v>1</v>
      </c>
      <c r="N717" s="4">
        <f>INDEX(products!$A$1:$G$49,MATCH(orders!$D717,products!$A$1:$A$49,0),MATCH(orders!N$1,products!$A$1:$G$1,0))</f>
        <v>14.85</v>
      </c>
      <c r="O717" s="13">
        <f t="shared" si="55"/>
        <v>89.1</v>
      </c>
      <c r="P717" s="13">
        <f>_xlfn.XLOOKUP(Orders[[#This Row],[Product ID]],products!$A$1:$A$49,products!$G$1:$G$49,,0)</f>
        <v>1.6335</v>
      </c>
      <c r="Q717" s="13">
        <f t="shared" si="56"/>
        <v>9.8010000000000002</v>
      </c>
      <c r="R717" t="str">
        <f t="shared" si="58"/>
        <v>Execelsa</v>
      </c>
      <c r="S717" t="str">
        <f t="shared" si="59"/>
        <v>Light</v>
      </c>
      <c r="T717" t="str">
        <f>_xlfn.XLOOKUP(Orders[[#This Row],[Customer ID]],customers!$A$1:$A$1001,customers!$I$1:$I$1001,,0)</f>
        <v>No</v>
      </c>
    </row>
    <row r="718" spans="1:20" x14ac:dyDescent="0.35">
      <c r="A718" s="2" t="s">
        <v>4533</v>
      </c>
      <c r="B718" s="3">
        <v>44612</v>
      </c>
      <c r="C718" s="2" t="s">
        <v>4434</v>
      </c>
      <c r="D718" t="s">
        <v>6179</v>
      </c>
      <c r="E718" t="str">
        <f t="shared" si="57"/>
        <v>Robusta-Light-1</v>
      </c>
      <c r="F718" s="2">
        <v>3</v>
      </c>
      <c r="G718" s="2" t="str" cm="1">
        <f t="array" ref="G718">_xlfn.XLOOKUP(C718, customers!$A$1:A1717,customers!$B$1:B1717,,0)</f>
        <v>Jimmy Dymoke</v>
      </c>
      <c r="H718" s="2" t="str" cm="1">
        <f t="array" ref="H718">IF(_xlfn.XLOOKUP(C718,customers!$A$1:A1717,customers!$C$1:C1717,,0) = 0,"", _xlfn.XLOOKUP(C718,customers!$A$1:A1717,customers!$C$1:C1717,,0))</f>
        <v>jdymokeje@prnewswire.com</v>
      </c>
      <c r="I718" s="2" t="str">
        <f>_xlfn.XLOOKUP(C718,customers!$A$1:$A$1001,customers!$G$1:$G$1001,,0)</f>
        <v>Ireland</v>
      </c>
      <c r="J718" s="2" t="str">
        <f>_xlfn.XLOOKUP(Orders[[#This Row],[Customer ID]],customers!$A$1:$A$1001,customers!$F$1:$F$1001,,0)</f>
        <v>Beaumont</v>
      </c>
      <c r="K718" t="str">
        <f>INDEX(products!$A$1:$G$49,MATCH(orders!$D718,products!$A$1:$A$49,0),MATCH(orders!K$1,products!$A$1:$G$1,0))</f>
        <v>Rob</v>
      </c>
      <c r="L718" t="str">
        <f>INDEX(products!$A$1:$G$49,MATCH(orders!$D718,products!$A$1:$A$49,0),MATCH(orders!L$1,products!$A$1:$G$1,0))</f>
        <v>L</v>
      </c>
      <c r="M718" s="14">
        <f>INDEX(products!$A$1:$G$49,MATCH(orders!$D718,products!$A$1:$A$49,0),MATCH(orders!M$1,products!$A$1:$G$1,0))</f>
        <v>1</v>
      </c>
      <c r="N718" s="4">
        <f>INDEX(products!$A$1:$G$49,MATCH(orders!$D718,products!$A$1:$A$49,0),MATCH(orders!N$1,products!$A$1:$G$1,0))</f>
        <v>11.95</v>
      </c>
      <c r="O718" s="13">
        <f t="shared" si="55"/>
        <v>35.849999999999994</v>
      </c>
      <c r="P718" s="13">
        <f>_xlfn.XLOOKUP(Orders[[#This Row],[Product ID]],products!$A$1:$A$49,products!$G$1:$G$49,,0)</f>
        <v>0.71699999999999997</v>
      </c>
      <c r="Q718" s="13">
        <f t="shared" si="56"/>
        <v>2.1509999999999998</v>
      </c>
      <c r="R718" t="str">
        <f t="shared" si="58"/>
        <v>Robusta</v>
      </c>
      <c r="S718" t="str">
        <f t="shared" si="59"/>
        <v>Light</v>
      </c>
      <c r="T718" t="str">
        <f>_xlfn.XLOOKUP(Orders[[#This Row],[Customer ID]],customers!$A$1:$A$1001,customers!$I$1:$I$1001,,0)</f>
        <v>No</v>
      </c>
    </row>
    <row r="719" spans="1:20" x14ac:dyDescent="0.35">
      <c r="A719" s="2" t="s">
        <v>4539</v>
      </c>
      <c r="B719" s="3">
        <v>43649</v>
      </c>
      <c r="C719" s="2" t="s">
        <v>4540</v>
      </c>
      <c r="D719" t="s">
        <v>6168</v>
      </c>
      <c r="E719" t="str">
        <f t="shared" si="57"/>
        <v>Arabica-Dark-2.5</v>
      </c>
      <c r="F719" s="2">
        <v>3</v>
      </c>
      <c r="G719" s="2" t="str" cm="1">
        <f t="array" ref="G719">_xlfn.XLOOKUP(C719, customers!$A$1:A1718,customers!$B$1:B1718,,0)</f>
        <v>Willabella Harvison</v>
      </c>
      <c r="H719" s="2" t="str" cm="1">
        <f t="array" ref="H719">IF(_xlfn.XLOOKUP(C719,customers!$A$1:A1718,customers!$C$1:C1718,,0) = 0,"", _xlfn.XLOOKUP(C719,customers!$A$1:A1718,customers!$C$1:C1718,,0))</f>
        <v>wharvisonjx@gizmodo.com</v>
      </c>
      <c r="I719" s="2" t="str">
        <f>_xlfn.XLOOKUP(C719,customers!$A$1:$A$1001,customers!$G$1:$G$1001,,0)</f>
        <v>United States</v>
      </c>
      <c r="J719" s="2" t="str">
        <f>_xlfn.XLOOKUP(Orders[[#This Row],[Customer ID]],customers!$A$1:$A$1001,customers!$F$1:$F$1001,,0)</f>
        <v>Philadelphia</v>
      </c>
      <c r="K719" t="str">
        <f>INDEX(products!$A$1:$G$49,MATCH(orders!$D719,products!$A$1:$A$49,0),MATCH(orders!K$1,products!$A$1:$G$1,0))</f>
        <v>Ara</v>
      </c>
      <c r="L719" t="str">
        <f>INDEX(products!$A$1:$G$49,MATCH(orders!$D719,products!$A$1:$A$49,0),MATCH(orders!L$1,products!$A$1:$G$1,0))</f>
        <v>D</v>
      </c>
      <c r="M719" s="14">
        <f>INDEX(products!$A$1:$G$49,MATCH(orders!$D719,products!$A$1:$A$49,0),MATCH(orders!M$1,products!$A$1:$G$1,0))</f>
        <v>2.5</v>
      </c>
      <c r="N719" s="4">
        <f>INDEX(products!$A$1:$G$49,MATCH(orders!$D719,products!$A$1:$A$49,0),MATCH(orders!N$1,products!$A$1:$G$1,0))</f>
        <v>22.884999999999998</v>
      </c>
      <c r="O719" s="13">
        <f t="shared" si="55"/>
        <v>68.655000000000001</v>
      </c>
      <c r="P719" s="13">
        <f>_xlfn.XLOOKUP(Orders[[#This Row],[Product ID]],products!$A$1:$A$49,products!$G$1:$G$49,,0)</f>
        <v>2.0596499999999995</v>
      </c>
      <c r="Q719" s="13">
        <f t="shared" si="56"/>
        <v>6.1789499999999986</v>
      </c>
      <c r="R719" t="str">
        <f t="shared" si="58"/>
        <v>Arabica</v>
      </c>
      <c r="S719" t="str">
        <f t="shared" si="59"/>
        <v>Dark</v>
      </c>
      <c r="T719" t="str">
        <f>_xlfn.XLOOKUP(Orders[[#This Row],[Customer ID]],customers!$A$1:$A$1001,customers!$I$1:$I$1001,,0)</f>
        <v>No</v>
      </c>
    </row>
    <row r="720" spans="1:20" x14ac:dyDescent="0.35">
      <c r="A720" s="2" t="s">
        <v>4545</v>
      </c>
      <c r="B720" s="3">
        <v>44348</v>
      </c>
      <c r="C720" s="2" t="s">
        <v>4546</v>
      </c>
      <c r="D720" t="s">
        <v>6143</v>
      </c>
      <c r="E720" t="str">
        <f t="shared" si="57"/>
        <v>Liberica-Dark-1</v>
      </c>
      <c r="F720" s="2">
        <v>3</v>
      </c>
      <c r="G720" s="2" t="str" cm="1">
        <f t="array" ref="G720">_xlfn.XLOOKUP(C720, customers!$A$1:A1719,customers!$B$1:B1719,,0)</f>
        <v>Darice Heaford</v>
      </c>
      <c r="H720" s="2" t="str" cm="1">
        <f t="array" ref="H720">IF(_xlfn.XLOOKUP(C720,customers!$A$1:A1719,customers!$C$1:C1719,,0) = 0,"", _xlfn.XLOOKUP(C720,customers!$A$1:A1719,customers!$C$1:C1719,,0))</f>
        <v>dheafordjy@twitpic.com</v>
      </c>
      <c r="I720" s="2" t="str">
        <f>_xlfn.XLOOKUP(C720,customers!$A$1:$A$1001,customers!$G$1:$G$1001,,0)</f>
        <v>United States</v>
      </c>
      <c r="J720" s="2" t="str">
        <f>_xlfn.XLOOKUP(Orders[[#This Row],[Customer ID]],customers!$A$1:$A$1001,customers!$F$1:$F$1001,,0)</f>
        <v>San Angelo</v>
      </c>
      <c r="K720" t="str">
        <f>INDEX(products!$A$1:$G$49,MATCH(orders!$D720,products!$A$1:$A$49,0),MATCH(orders!K$1,products!$A$1:$G$1,0))</f>
        <v>Lib</v>
      </c>
      <c r="L720" t="str">
        <f>INDEX(products!$A$1:$G$49,MATCH(orders!$D720,products!$A$1:$A$49,0),MATCH(orders!L$1,products!$A$1:$G$1,0))</f>
        <v>D</v>
      </c>
      <c r="M720" s="14">
        <f>INDEX(products!$A$1:$G$49,MATCH(orders!$D720,products!$A$1:$A$49,0),MATCH(orders!M$1,products!$A$1:$G$1,0))</f>
        <v>1</v>
      </c>
      <c r="N720" s="4">
        <f>INDEX(products!$A$1:$G$49,MATCH(orders!$D720,products!$A$1:$A$49,0),MATCH(orders!N$1,products!$A$1:$G$1,0))</f>
        <v>12.95</v>
      </c>
      <c r="O720" s="13">
        <f t="shared" si="55"/>
        <v>38.849999999999994</v>
      </c>
      <c r="P720" s="13">
        <f>_xlfn.XLOOKUP(Orders[[#This Row],[Product ID]],products!$A$1:$A$49,products!$G$1:$G$49,,0)</f>
        <v>1.6835</v>
      </c>
      <c r="Q720" s="13">
        <f t="shared" si="56"/>
        <v>5.0504999999999995</v>
      </c>
      <c r="R720" t="str">
        <f t="shared" si="58"/>
        <v>Liberica</v>
      </c>
      <c r="S720" t="str">
        <f t="shared" si="59"/>
        <v>Dark</v>
      </c>
      <c r="T720" t="str">
        <f>_xlfn.XLOOKUP(Orders[[#This Row],[Customer ID]],customers!$A$1:$A$1001,customers!$I$1:$I$1001,,0)</f>
        <v>No</v>
      </c>
    </row>
    <row r="721" spans="1:20" x14ac:dyDescent="0.35">
      <c r="A721" s="2" t="s">
        <v>4551</v>
      </c>
      <c r="B721" s="3">
        <v>44150</v>
      </c>
      <c r="C721" s="2" t="s">
        <v>4552</v>
      </c>
      <c r="D721" t="s">
        <v>6170</v>
      </c>
      <c r="E721" t="str">
        <f t="shared" si="57"/>
        <v>Liberica-Light-1</v>
      </c>
      <c r="F721" s="2">
        <v>5</v>
      </c>
      <c r="G721" s="2" t="str" cm="1">
        <f t="array" ref="G721">_xlfn.XLOOKUP(C721, customers!$A$1:A1720,customers!$B$1:B1720,,0)</f>
        <v>Granger Fantham</v>
      </c>
      <c r="H721" s="2" t="str" cm="1">
        <f t="array" ref="H721">IF(_xlfn.XLOOKUP(C721,customers!$A$1:A1720,customers!$C$1:C1720,,0) = 0,"", _xlfn.XLOOKUP(C721,customers!$A$1:A1720,customers!$C$1:C1720,,0))</f>
        <v>gfanthamjz@hexun.com</v>
      </c>
      <c r="I721" s="2" t="str">
        <f>_xlfn.XLOOKUP(C721,customers!$A$1:$A$1001,customers!$G$1:$G$1001,,0)</f>
        <v>United States</v>
      </c>
      <c r="J721" s="2" t="str">
        <f>_xlfn.XLOOKUP(Orders[[#This Row],[Customer ID]],customers!$A$1:$A$1001,customers!$F$1:$F$1001,,0)</f>
        <v>Los Angeles</v>
      </c>
      <c r="K721" t="str">
        <f>INDEX(products!$A$1:$G$49,MATCH(orders!$D721,products!$A$1:$A$49,0),MATCH(orders!K$1,products!$A$1:$G$1,0))</f>
        <v>Lib</v>
      </c>
      <c r="L721" t="str">
        <f>INDEX(products!$A$1:$G$49,MATCH(orders!$D721,products!$A$1:$A$49,0),MATCH(orders!L$1,products!$A$1:$G$1,0))</f>
        <v>L</v>
      </c>
      <c r="M721" s="14">
        <f>INDEX(products!$A$1:$G$49,MATCH(orders!$D721,products!$A$1:$A$49,0),MATCH(orders!M$1,products!$A$1:$G$1,0))</f>
        <v>1</v>
      </c>
      <c r="N721" s="4">
        <f>INDEX(products!$A$1:$G$49,MATCH(orders!$D721,products!$A$1:$A$49,0),MATCH(orders!N$1,products!$A$1:$G$1,0))</f>
        <v>15.85</v>
      </c>
      <c r="O721" s="13">
        <f t="shared" si="55"/>
        <v>79.25</v>
      </c>
      <c r="P721" s="13">
        <f>_xlfn.XLOOKUP(Orders[[#This Row],[Product ID]],products!$A$1:$A$49,products!$G$1:$G$49,,0)</f>
        <v>2.0605000000000002</v>
      </c>
      <c r="Q721" s="13">
        <f t="shared" si="56"/>
        <v>10.302500000000002</v>
      </c>
      <c r="R721" t="str">
        <f t="shared" si="58"/>
        <v>Liberica</v>
      </c>
      <c r="S721" t="str">
        <f t="shared" si="59"/>
        <v>Light</v>
      </c>
      <c r="T721" t="str">
        <f>_xlfn.XLOOKUP(Orders[[#This Row],[Customer ID]],customers!$A$1:$A$1001,customers!$I$1:$I$1001,,0)</f>
        <v>Yes</v>
      </c>
    </row>
    <row r="722" spans="1:20" x14ac:dyDescent="0.35">
      <c r="A722" s="2" t="s">
        <v>4557</v>
      </c>
      <c r="B722" s="3">
        <v>44215</v>
      </c>
      <c r="C722" s="2" t="s">
        <v>4558</v>
      </c>
      <c r="D722" t="s">
        <v>6144</v>
      </c>
      <c r="E722" t="str">
        <f t="shared" si="57"/>
        <v>Excelsa-Dark-0.5</v>
      </c>
      <c r="F722" s="2">
        <v>5</v>
      </c>
      <c r="G722" s="2" t="str" cm="1">
        <f t="array" ref="G722">_xlfn.XLOOKUP(C722, customers!$A$1:A1721,customers!$B$1:B1721,,0)</f>
        <v>Reynolds Crookshanks</v>
      </c>
      <c r="H722" s="2" t="str" cm="1">
        <f t="array" ref="H722">IF(_xlfn.XLOOKUP(C722,customers!$A$1:A1721,customers!$C$1:C1721,,0) = 0,"", _xlfn.XLOOKUP(C722,customers!$A$1:A1721,customers!$C$1:C1721,,0))</f>
        <v>rcrookshanksk0@unc.edu</v>
      </c>
      <c r="I722" s="2" t="str">
        <f>_xlfn.XLOOKUP(C722,customers!$A$1:$A$1001,customers!$G$1:$G$1001,,0)</f>
        <v>United States</v>
      </c>
      <c r="J722" s="2" t="str">
        <f>_xlfn.XLOOKUP(Orders[[#This Row],[Customer ID]],customers!$A$1:$A$1001,customers!$F$1:$F$1001,,0)</f>
        <v>Lansing</v>
      </c>
      <c r="K722" t="str">
        <f>INDEX(products!$A$1:$G$49,MATCH(orders!$D722,products!$A$1:$A$49,0),MATCH(orders!K$1,products!$A$1:$G$1,0))</f>
        <v>Exc</v>
      </c>
      <c r="L722" t="str">
        <f>INDEX(products!$A$1:$G$49,MATCH(orders!$D722,products!$A$1:$A$49,0),MATCH(orders!L$1,products!$A$1:$G$1,0))</f>
        <v>D</v>
      </c>
      <c r="M722" s="14">
        <f>INDEX(products!$A$1:$G$49,MATCH(orders!$D722,products!$A$1:$A$49,0),MATCH(orders!M$1,products!$A$1:$G$1,0))</f>
        <v>0.5</v>
      </c>
      <c r="N722" s="4">
        <f>INDEX(products!$A$1:$G$49,MATCH(orders!$D722,products!$A$1:$A$49,0),MATCH(orders!N$1,products!$A$1:$G$1,0))</f>
        <v>7.29</v>
      </c>
      <c r="O722" s="13">
        <f t="shared" si="55"/>
        <v>36.450000000000003</v>
      </c>
      <c r="P722" s="13">
        <f>_xlfn.XLOOKUP(Orders[[#This Row],[Product ID]],products!$A$1:$A$49,products!$G$1:$G$49,,0)</f>
        <v>0.80190000000000006</v>
      </c>
      <c r="Q722" s="13">
        <f t="shared" si="56"/>
        <v>4.0095000000000001</v>
      </c>
      <c r="R722" t="str">
        <f t="shared" si="58"/>
        <v>Execelsa</v>
      </c>
      <c r="S722" t="str">
        <f t="shared" si="59"/>
        <v>Dark</v>
      </c>
      <c r="T722" t="str">
        <f>_xlfn.XLOOKUP(Orders[[#This Row],[Customer ID]],customers!$A$1:$A$1001,customers!$I$1:$I$1001,,0)</f>
        <v>Yes</v>
      </c>
    </row>
    <row r="723" spans="1:20" x14ac:dyDescent="0.35">
      <c r="A723" s="2" t="s">
        <v>4563</v>
      </c>
      <c r="B723" s="3">
        <v>44479</v>
      </c>
      <c r="C723" s="2" t="s">
        <v>4564</v>
      </c>
      <c r="D723" t="s">
        <v>6174</v>
      </c>
      <c r="E723" t="str">
        <f t="shared" si="57"/>
        <v>Robusta-Medium-0.2</v>
      </c>
      <c r="F723" s="2">
        <v>3</v>
      </c>
      <c r="G723" s="2" t="str" cm="1">
        <f t="array" ref="G723">_xlfn.XLOOKUP(C723, customers!$A$1:A1722,customers!$B$1:B1722,,0)</f>
        <v>Niels Leake</v>
      </c>
      <c r="H723" s="2" t="str" cm="1">
        <f t="array" ref="H723">IF(_xlfn.XLOOKUP(C723,customers!$A$1:A1722,customers!$C$1:C1722,,0) = 0,"", _xlfn.XLOOKUP(C723,customers!$A$1:A1722,customers!$C$1:C1722,,0))</f>
        <v>nleakek1@cmu.edu</v>
      </c>
      <c r="I723" s="2" t="str">
        <f>_xlfn.XLOOKUP(C723,customers!$A$1:$A$1001,customers!$G$1:$G$1001,,0)</f>
        <v>United States</v>
      </c>
      <c r="J723" s="2" t="str">
        <f>_xlfn.XLOOKUP(Orders[[#This Row],[Customer ID]],customers!$A$1:$A$1001,customers!$F$1:$F$1001,,0)</f>
        <v>Clearwater</v>
      </c>
      <c r="K723" t="str">
        <f>INDEX(products!$A$1:$G$49,MATCH(orders!$D723,products!$A$1:$A$49,0),MATCH(orders!K$1,products!$A$1:$G$1,0))</f>
        <v>Rob</v>
      </c>
      <c r="L723" t="str">
        <f>INDEX(products!$A$1:$G$49,MATCH(orders!$D723,products!$A$1:$A$49,0),MATCH(orders!L$1,products!$A$1:$G$1,0))</f>
        <v>M</v>
      </c>
      <c r="M723" s="14">
        <f>INDEX(products!$A$1:$G$49,MATCH(orders!$D723,products!$A$1:$A$49,0),MATCH(orders!M$1,products!$A$1:$G$1,0))</f>
        <v>0.2</v>
      </c>
      <c r="N723" s="4">
        <f>INDEX(products!$A$1:$G$49,MATCH(orders!$D723,products!$A$1:$A$49,0),MATCH(orders!N$1,products!$A$1:$G$1,0))</f>
        <v>2.9849999999999999</v>
      </c>
      <c r="O723" s="13">
        <f t="shared" si="55"/>
        <v>8.9550000000000001</v>
      </c>
      <c r="P723" s="13">
        <f>_xlfn.XLOOKUP(Orders[[#This Row],[Product ID]],products!$A$1:$A$49,products!$G$1:$G$49,,0)</f>
        <v>0.17909999999999998</v>
      </c>
      <c r="Q723" s="13">
        <f t="shared" si="56"/>
        <v>0.53729999999999989</v>
      </c>
      <c r="R723" t="str">
        <f t="shared" si="58"/>
        <v>Robusta</v>
      </c>
      <c r="S723" t="str">
        <f t="shared" si="59"/>
        <v>Medium</v>
      </c>
      <c r="T723" t="str">
        <f>_xlfn.XLOOKUP(Orders[[#This Row],[Customer ID]],customers!$A$1:$A$1001,customers!$I$1:$I$1001,,0)</f>
        <v>Yes</v>
      </c>
    </row>
    <row r="724" spans="1:20" x14ac:dyDescent="0.35">
      <c r="A724" s="2" t="s">
        <v>4569</v>
      </c>
      <c r="B724" s="3">
        <v>44620</v>
      </c>
      <c r="C724" s="2" t="s">
        <v>4570</v>
      </c>
      <c r="D724" t="s">
        <v>6183</v>
      </c>
      <c r="E724" t="str">
        <f t="shared" si="57"/>
        <v>Excelsa-Dark-1</v>
      </c>
      <c r="F724" s="2">
        <v>2</v>
      </c>
      <c r="G724" s="2" t="str" cm="1">
        <f t="array" ref="G724">_xlfn.XLOOKUP(C724, customers!$A$1:A1723,customers!$B$1:B1723,,0)</f>
        <v>Hetti Measures</v>
      </c>
      <c r="H724" s="2" t="str" cm="1">
        <f t="array" ref="H724">IF(_xlfn.XLOOKUP(C724,customers!$A$1:A1723,customers!$C$1:C1723,,0) = 0,"", _xlfn.XLOOKUP(C724,customers!$A$1:A1723,customers!$C$1:C1723,,0))</f>
        <v/>
      </c>
      <c r="I724" s="2" t="str">
        <f>_xlfn.XLOOKUP(C724,customers!$A$1:$A$1001,customers!$G$1:$G$1001,,0)</f>
        <v>United States</v>
      </c>
      <c r="J724" s="2" t="str">
        <f>_xlfn.XLOOKUP(Orders[[#This Row],[Customer ID]],customers!$A$1:$A$1001,customers!$F$1:$F$1001,,0)</f>
        <v>Whittier</v>
      </c>
      <c r="K724" t="str">
        <f>INDEX(products!$A$1:$G$49,MATCH(orders!$D724,products!$A$1:$A$49,0),MATCH(orders!K$1,products!$A$1:$G$1,0))</f>
        <v>Exc</v>
      </c>
      <c r="L724" t="str">
        <f>INDEX(products!$A$1:$G$49,MATCH(orders!$D724,products!$A$1:$A$49,0),MATCH(orders!L$1,products!$A$1:$G$1,0))</f>
        <v>D</v>
      </c>
      <c r="M724" s="14">
        <f>INDEX(products!$A$1:$G$49,MATCH(orders!$D724,products!$A$1:$A$49,0),MATCH(orders!M$1,products!$A$1:$G$1,0))</f>
        <v>1</v>
      </c>
      <c r="N724" s="4">
        <f>INDEX(products!$A$1:$G$49,MATCH(orders!$D724,products!$A$1:$A$49,0),MATCH(orders!N$1,products!$A$1:$G$1,0))</f>
        <v>12.15</v>
      </c>
      <c r="O724" s="13">
        <f t="shared" si="55"/>
        <v>24.3</v>
      </c>
      <c r="P724" s="13">
        <f>_xlfn.XLOOKUP(Orders[[#This Row],[Product ID]],products!$A$1:$A$49,products!$G$1:$G$49,,0)</f>
        <v>1.3365</v>
      </c>
      <c r="Q724" s="13">
        <f t="shared" si="56"/>
        <v>2.673</v>
      </c>
      <c r="R724" t="str">
        <f t="shared" si="58"/>
        <v>Execelsa</v>
      </c>
      <c r="S724" t="str">
        <f t="shared" si="59"/>
        <v>Dark</v>
      </c>
      <c r="T724" t="str">
        <f>_xlfn.XLOOKUP(Orders[[#This Row],[Customer ID]],customers!$A$1:$A$1001,customers!$I$1:$I$1001,,0)</f>
        <v>No</v>
      </c>
    </row>
    <row r="725" spans="1:20" x14ac:dyDescent="0.35">
      <c r="A725" s="2" t="s">
        <v>4574</v>
      </c>
      <c r="B725" s="3">
        <v>44470</v>
      </c>
      <c r="C725" s="2" t="s">
        <v>4575</v>
      </c>
      <c r="D725" t="s">
        <v>6166</v>
      </c>
      <c r="E725" t="str">
        <f t="shared" si="57"/>
        <v>Excelsa-Medium-2.5</v>
      </c>
      <c r="F725" s="2">
        <v>2</v>
      </c>
      <c r="G725" s="2" t="str" cm="1">
        <f t="array" ref="G725">_xlfn.XLOOKUP(C725, customers!$A$1:A1724,customers!$B$1:B1724,,0)</f>
        <v>Gay Eilhersen</v>
      </c>
      <c r="H725" s="2" t="str" cm="1">
        <f t="array" ref="H725">IF(_xlfn.XLOOKUP(C725,customers!$A$1:A1724,customers!$C$1:C1724,,0) = 0,"", _xlfn.XLOOKUP(C725,customers!$A$1:A1724,customers!$C$1:C1724,,0))</f>
        <v>geilhersenk3@networksolutions.com</v>
      </c>
      <c r="I725" s="2" t="str">
        <f>_xlfn.XLOOKUP(C725,customers!$A$1:$A$1001,customers!$G$1:$G$1001,,0)</f>
        <v>United States</v>
      </c>
      <c r="J725" s="2" t="str">
        <f>_xlfn.XLOOKUP(Orders[[#This Row],[Customer ID]],customers!$A$1:$A$1001,customers!$F$1:$F$1001,,0)</f>
        <v>Fresno</v>
      </c>
      <c r="K725" t="str">
        <f>INDEX(products!$A$1:$G$49,MATCH(orders!$D725,products!$A$1:$A$49,0),MATCH(orders!K$1,products!$A$1:$G$1,0))</f>
        <v>Exc</v>
      </c>
      <c r="L725" t="str">
        <f>INDEX(products!$A$1:$G$49,MATCH(orders!$D725,products!$A$1:$A$49,0),MATCH(orders!L$1,products!$A$1:$G$1,0))</f>
        <v>M</v>
      </c>
      <c r="M725" s="14">
        <f>INDEX(products!$A$1:$G$49,MATCH(orders!$D725,products!$A$1:$A$49,0),MATCH(orders!M$1,products!$A$1:$G$1,0))</f>
        <v>2.5</v>
      </c>
      <c r="N725" s="4">
        <f>INDEX(products!$A$1:$G$49,MATCH(orders!$D725,products!$A$1:$A$49,0),MATCH(orders!N$1,products!$A$1:$G$1,0))</f>
        <v>31.624999999999996</v>
      </c>
      <c r="O725" s="13">
        <f t="shared" si="55"/>
        <v>63.249999999999993</v>
      </c>
      <c r="P725" s="13">
        <f>_xlfn.XLOOKUP(Orders[[#This Row],[Product ID]],products!$A$1:$A$49,products!$G$1:$G$49,,0)</f>
        <v>3.4787499999999998</v>
      </c>
      <c r="Q725" s="13">
        <f t="shared" si="56"/>
        <v>6.9574999999999996</v>
      </c>
      <c r="R725" t="str">
        <f t="shared" si="58"/>
        <v>Execelsa</v>
      </c>
      <c r="S725" t="str">
        <f t="shared" si="59"/>
        <v>Medium</v>
      </c>
      <c r="T725" t="str">
        <f>_xlfn.XLOOKUP(Orders[[#This Row],[Customer ID]],customers!$A$1:$A$1001,customers!$I$1:$I$1001,,0)</f>
        <v>No</v>
      </c>
    </row>
    <row r="726" spans="1:20" x14ac:dyDescent="0.35">
      <c r="A726" s="2" t="s">
        <v>4580</v>
      </c>
      <c r="B726" s="3">
        <v>44076</v>
      </c>
      <c r="C726" s="2" t="s">
        <v>4581</v>
      </c>
      <c r="D726" t="s">
        <v>6152</v>
      </c>
      <c r="E726" t="str">
        <f t="shared" si="57"/>
        <v>Arabica-Medium-0.2</v>
      </c>
      <c r="F726" s="2">
        <v>2</v>
      </c>
      <c r="G726" s="2" t="str" cm="1">
        <f t="array" ref="G726">_xlfn.XLOOKUP(C726, customers!$A$1:A1725,customers!$B$1:B1725,,0)</f>
        <v>Nico Hubert</v>
      </c>
      <c r="H726" s="2" t="str" cm="1">
        <f t="array" ref="H726">IF(_xlfn.XLOOKUP(C726,customers!$A$1:A1725,customers!$C$1:C1725,,0) = 0,"", _xlfn.XLOOKUP(C726,customers!$A$1:A1725,customers!$C$1:C1725,,0))</f>
        <v/>
      </c>
      <c r="I726" s="2" t="str">
        <f>_xlfn.XLOOKUP(C726,customers!$A$1:$A$1001,customers!$G$1:$G$1001,,0)</f>
        <v>United States</v>
      </c>
      <c r="J726" s="2" t="str">
        <f>_xlfn.XLOOKUP(Orders[[#This Row],[Customer ID]],customers!$A$1:$A$1001,customers!$F$1:$F$1001,,0)</f>
        <v>New York City</v>
      </c>
      <c r="K726" t="str">
        <f>INDEX(products!$A$1:$G$49,MATCH(orders!$D726,products!$A$1:$A$49,0),MATCH(orders!K$1,products!$A$1:$G$1,0))</f>
        <v>Ara</v>
      </c>
      <c r="L726" t="str">
        <f>INDEX(products!$A$1:$G$49,MATCH(orders!$D726,products!$A$1:$A$49,0),MATCH(orders!L$1,products!$A$1:$G$1,0))</f>
        <v>M</v>
      </c>
      <c r="M726" s="14">
        <f>INDEX(products!$A$1:$G$49,MATCH(orders!$D726,products!$A$1:$A$49,0),MATCH(orders!M$1,products!$A$1:$G$1,0))</f>
        <v>0.2</v>
      </c>
      <c r="N726" s="4">
        <f>INDEX(products!$A$1:$G$49,MATCH(orders!$D726,products!$A$1:$A$49,0),MATCH(orders!N$1,products!$A$1:$G$1,0))</f>
        <v>3.375</v>
      </c>
      <c r="O726" s="13">
        <f t="shared" si="55"/>
        <v>6.75</v>
      </c>
      <c r="P726" s="13">
        <f>_xlfn.XLOOKUP(Orders[[#This Row],[Product ID]],products!$A$1:$A$49,products!$G$1:$G$49,,0)</f>
        <v>0.30374999999999996</v>
      </c>
      <c r="Q726" s="13">
        <f t="shared" si="56"/>
        <v>0.60749999999999993</v>
      </c>
      <c r="R726" t="str">
        <f t="shared" si="58"/>
        <v>Arabica</v>
      </c>
      <c r="S726" t="str">
        <f t="shared" si="59"/>
        <v>Medium</v>
      </c>
      <c r="T726" t="str">
        <f>_xlfn.XLOOKUP(Orders[[#This Row],[Customer ID]],customers!$A$1:$A$1001,customers!$I$1:$I$1001,,0)</f>
        <v>Yes</v>
      </c>
    </row>
    <row r="727" spans="1:20" x14ac:dyDescent="0.35">
      <c r="A727" s="2" t="s">
        <v>4585</v>
      </c>
      <c r="B727" s="3">
        <v>44043</v>
      </c>
      <c r="C727" s="2" t="s">
        <v>4586</v>
      </c>
      <c r="D727" t="s">
        <v>6167</v>
      </c>
      <c r="E727" t="str">
        <f t="shared" si="57"/>
        <v>Arabica-Light-0.2</v>
      </c>
      <c r="F727" s="2">
        <v>6</v>
      </c>
      <c r="G727" s="2" t="str" cm="1">
        <f t="array" ref="G727">_xlfn.XLOOKUP(C727, customers!$A$1:A1726,customers!$B$1:B1726,,0)</f>
        <v>Cristina Aleixo</v>
      </c>
      <c r="H727" s="2" t="str" cm="1">
        <f t="array" ref="H727">IF(_xlfn.XLOOKUP(C727,customers!$A$1:A1726,customers!$C$1:C1726,,0) = 0,"", _xlfn.XLOOKUP(C727,customers!$A$1:A1726,customers!$C$1:C1726,,0))</f>
        <v>caleixok5@globo.com</v>
      </c>
      <c r="I727" s="2" t="str">
        <f>_xlfn.XLOOKUP(C727,customers!$A$1:$A$1001,customers!$G$1:$G$1001,,0)</f>
        <v>United States</v>
      </c>
      <c r="J727" s="2" t="str">
        <f>_xlfn.XLOOKUP(Orders[[#This Row],[Customer ID]],customers!$A$1:$A$1001,customers!$F$1:$F$1001,,0)</f>
        <v>Colorado Springs</v>
      </c>
      <c r="K727" t="str">
        <f>INDEX(products!$A$1:$G$49,MATCH(orders!$D727,products!$A$1:$A$49,0),MATCH(orders!K$1,products!$A$1:$G$1,0))</f>
        <v>Ara</v>
      </c>
      <c r="L727" t="str">
        <f>INDEX(products!$A$1:$G$49,MATCH(orders!$D727,products!$A$1:$A$49,0),MATCH(orders!L$1,products!$A$1:$G$1,0))</f>
        <v>L</v>
      </c>
      <c r="M727" s="14">
        <f>INDEX(products!$A$1:$G$49,MATCH(orders!$D727,products!$A$1:$A$49,0),MATCH(orders!M$1,products!$A$1:$G$1,0))</f>
        <v>0.2</v>
      </c>
      <c r="N727" s="4">
        <f>INDEX(products!$A$1:$G$49,MATCH(orders!$D727,products!$A$1:$A$49,0),MATCH(orders!N$1,products!$A$1:$G$1,0))</f>
        <v>3.8849999999999998</v>
      </c>
      <c r="O727" s="13">
        <f t="shared" si="55"/>
        <v>23.31</v>
      </c>
      <c r="P727" s="13">
        <f>_xlfn.XLOOKUP(Orders[[#This Row],[Product ID]],products!$A$1:$A$49,products!$G$1:$G$49,,0)</f>
        <v>0.34964999999999996</v>
      </c>
      <c r="Q727" s="13">
        <f t="shared" si="56"/>
        <v>2.0978999999999997</v>
      </c>
      <c r="R727" t="str">
        <f t="shared" si="58"/>
        <v>Arabica</v>
      </c>
      <c r="S727" t="str">
        <f t="shared" si="59"/>
        <v>Light</v>
      </c>
      <c r="T727" t="str">
        <f>_xlfn.XLOOKUP(Orders[[#This Row],[Customer ID]],customers!$A$1:$A$1001,customers!$I$1:$I$1001,,0)</f>
        <v>No</v>
      </c>
    </row>
    <row r="728" spans="1:20" x14ac:dyDescent="0.35">
      <c r="A728" s="2" t="s">
        <v>4591</v>
      </c>
      <c r="B728" s="3">
        <v>44571</v>
      </c>
      <c r="C728" s="2" t="s">
        <v>4592</v>
      </c>
      <c r="D728" t="s">
        <v>6164</v>
      </c>
      <c r="E728" t="str">
        <f t="shared" si="57"/>
        <v>Liberica-Light-2.5</v>
      </c>
      <c r="F728" s="2">
        <v>4</v>
      </c>
      <c r="G728" s="2" t="str" cm="1">
        <f t="array" ref="G728">_xlfn.XLOOKUP(C728, customers!$A$1:A1727,customers!$B$1:B1727,,0)</f>
        <v>Derrek Allpress</v>
      </c>
      <c r="H728" s="2" t="str" cm="1">
        <f t="array" ref="H728">IF(_xlfn.XLOOKUP(C728,customers!$A$1:A1727,customers!$C$1:C1727,,0) = 0,"", _xlfn.XLOOKUP(C728,customers!$A$1:A1727,customers!$C$1:C1727,,0))</f>
        <v/>
      </c>
      <c r="I728" s="2" t="str">
        <f>_xlfn.XLOOKUP(C728,customers!$A$1:$A$1001,customers!$G$1:$G$1001,,0)</f>
        <v>United States</v>
      </c>
      <c r="J728" s="2" t="str">
        <f>_xlfn.XLOOKUP(Orders[[#This Row],[Customer ID]],customers!$A$1:$A$1001,customers!$F$1:$F$1001,,0)</f>
        <v>Long Beach</v>
      </c>
      <c r="K728" t="str">
        <f>INDEX(products!$A$1:$G$49,MATCH(orders!$D728,products!$A$1:$A$49,0),MATCH(orders!K$1,products!$A$1:$G$1,0))</f>
        <v>Lib</v>
      </c>
      <c r="L728" t="str">
        <f>INDEX(products!$A$1:$G$49,MATCH(orders!$D728,products!$A$1:$A$49,0),MATCH(orders!L$1,products!$A$1:$G$1,0))</f>
        <v>L</v>
      </c>
      <c r="M728" s="14">
        <f>INDEX(products!$A$1:$G$49,MATCH(orders!$D728,products!$A$1:$A$49,0),MATCH(orders!M$1,products!$A$1:$G$1,0))</f>
        <v>2.5</v>
      </c>
      <c r="N728" s="4">
        <f>INDEX(products!$A$1:$G$49,MATCH(orders!$D728,products!$A$1:$A$49,0),MATCH(orders!N$1,products!$A$1:$G$1,0))</f>
        <v>36.454999999999998</v>
      </c>
      <c r="O728" s="13">
        <f t="shared" si="55"/>
        <v>145.82</v>
      </c>
      <c r="P728" s="13">
        <f>_xlfn.XLOOKUP(Orders[[#This Row],[Product ID]],products!$A$1:$A$49,products!$G$1:$G$49,,0)</f>
        <v>4.7391499999999995</v>
      </c>
      <c r="Q728" s="13">
        <f t="shared" si="56"/>
        <v>18.956599999999998</v>
      </c>
      <c r="R728" t="str">
        <f t="shared" si="58"/>
        <v>Liberica</v>
      </c>
      <c r="S728" t="str">
        <f t="shared" si="59"/>
        <v>Light</v>
      </c>
      <c r="T728" t="str">
        <f>_xlfn.XLOOKUP(Orders[[#This Row],[Customer ID]],customers!$A$1:$A$1001,customers!$I$1:$I$1001,,0)</f>
        <v>No</v>
      </c>
    </row>
    <row r="729" spans="1:20" x14ac:dyDescent="0.35">
      <c r="A729" s="2" t="s">
        <v>4596</v>
      </c>
      <c r="B729" s="3">
        <v>44264</v>
      </c>
      <c r="C729" s="2" t="s">
        <v>4597</v>
      </c>
      <c r="D729" t="s">
        <v>6146</v>
      </c>
      <c r="E729" t="str">
        <f t="shared" si="57"/>
        <v>Robusta-Medium-0.5</v>
      </c>
      <c r="F729" s="2">
        <v>5</v>
      </c>
      <c r="G729" s="2" t="str" cm="1">
        <f t="array" ref="G729">_xlfn.XLOOKUP(C729, customers!$A$1:A1728,customers!$B$1:B1728,,0)</f>
        <v>Rikki Tomkowicz</v>
      </c>
      <c r="H729" s="2" t="str" cm="1">
        <f t="array" ref="H729">IF(_xlfn.XLOOKUP(C729,customers!$A$1:A1728,customers!$C$1:C1728,,0) = 0,"", _xlfn.XLOOKUP(C729,customers!$A$1:A1728,customers!$C$1:C1728,,0))</f>
        <v>rtomkowiczk7@bravesites.com</v>
      </c>
      <c r="I729" s="2" t="str">
        <f>_xlfn.XLOOKUP(C729,customers!$A$1:$A$1001,customers!$G$1:$G$1001,,0)</f>
        <v>Ireland</v>
      </c>
      <c r="J729" s="2" t="str">
        <f>_xlfn.XLOOKUP(Orders[[#This Row],[Customer ID]],customers!$A$1:$A$1001,customers!$F$1:$F$1001,,0)</f>
        <v>Lusk</v>
      </c>
      <c r="K729" t="str">
        <f>INDEX(products!$A$1:$G$49,MATCH(orders!$D729,products!$A$1:$A$49,0),MATCH(orders!K$1,products!$A$1:$G$1,0))</f>
        <v>Rob</v>
      </c>
      <c r="L729" t="str">
        <f>INDEX(products!$A$1:$G$49,MATCH(orders!$D729,products!$A$1:$A$49,0),MATCH(orders!L$1,products!$A$1:$G$1,0))</f>
        <v>M</v>
      </c>
      <c r="M729" s="14">
        <f>INDEX(products!$A$1:$G$49,MATCH(orders!$D729,products!$A$1:$A$49,0),MATCH(orders!M$1,products!$A$1:$G$1,0))</f>
        <v>0.5</v>
      </c>
      <c r="N729" s="4">
        <f>INDEX(products!$A$1:$G$49,MATCH(orders!$D729,products!$A$1:$A$49,0),MATCH(orders!N$1,products!$A$1:$G$1,0))</f>
        <v>5.97</v>
      </c>
      <c r="O729" s="13">
        <f t="shared" si="55"/>
        <v>29.849999999999998</v>
      </c>
      <c r="P729" s="13">
        <f>_xlfn.XLOOKUP(Orders[[#This Row],[Product ID]],products!$A$1:$A$49,products!$G$1:$G$49,,0)</f>
        <v>0.35819999999999996</v>
      </c>
      <c r="Q729" s="13">
        <f t="shared" si="56"/>
        <v>1.7909999999999999</v>
      </c>
      <c r="R729" t="str">
        <f t="shared" si="58"/>
        <v>Robusta</v>
      </c>
      <c r="S729" t="str">
        <f t="shared" si="59"/>
        <v>Medium</v>
      </c>
      <c r="T729" t="str">
        <f>_xlfn.XLOOKUP(Orders[[#This Row],[Customer ID]],customers!$A$1:$A$1001,customers!$I$1:$I$1001,,0)</f>
        <v>Yes</v>
      </c>
    </row>
    <row r="730" spans="1:20" x14ac:dyDescent="0.35">
      <c r="A730" s="2" t="s">
        <v>4602</v>
      </c>
      <c r="B730" s="3">
        <v>44155</v>
      </c>
      <c r="C730" s="2" t="s">
        <v>4603</v>
      </c>
      <c r="D730" t="s">
        <v>6144</v>
      </c>
      <c r="E730" t="str">
        <f t="shared" si="57"/>
        <v>Excelsa-Dark-0.5</v>
      </c>
      <c r="F730" s="2">
        <v>3</v>
      </c>
      <c r="G730" s="2" t="str" cm="1">
        <f t="array" ref="G730">_xlfn.XLOOKUP(C730, customers!$A$1:A1729,customers!$B$1:B1729,,0)</f>
        <v>Rochette Huscroft</v>
      </c>
      <c r="H730" s="2" t="str" cm="1">
        <f t="array" ref="H730">IF(_xlfn.XLOOKUP(C730,customers!$A$1:A1729,customers!$C$1:C1729,,0) = 0,"", _xlfn.XLOOKUP(C730,customers!$A$1:A1729,customers!$C$1:C1729,,0))</f>
        <v>rhuscroftk8@jimdo.com</v>
      </c>
      <c r="I730" s="2" t="str">
        <f>_xlfn.XLOOKUP(C730,customers!$A$1:$A$1001,customers!$G$1:$G$1001,,0)</f>
        <v>United States</v>
      </c>
      <c r="J730" s="2" t="str">
        <f>_xlfn.XLOOKUP(Orders[[#This Row],[Customer ID]],customers!$A$1:$A$1001,customers!$F$1:$F$1001,,0)</f>
        <v>Reno</v>
      </c>
      <c r="K730" t="str">
        <f>INDEX(products!$A$1:$G$49,MATCH(orders!$D730,products!$A$1:$A$49,0),MATCH(orders!K$1,products!$A$1:$G$1,0))</f>
        <v>Exc</v>
      </c>
      <c r="L730" t="str">
        <f>INDEX(products!$A$1:$G$49,MATCH(orders!$D730,products!$A$1:$A$49,0),MATCH(orders!L$1,products!$A$1:$G$1,0))</f>
        <v>D</v>
      </c>
      <c r="M730" s="14">
        <f>INDEX(products!$A$1:$G$49,MATCH(orders!$D730,products!$A$1:$A$49,0),MATCH(orders!M$1,products!$A$1:$G$1,0))</f>
        <v>0.5</v>
      </c>
      <c r="N730" s="4">
        <f>INDEX(products!$A$1:$G$49,MATCH(orders!$D730,products!$A$1:$A$49,0),MATCH(orders!N$1,products!$A$1:$G$1,0))</f>
        <v>7.29</v>
      </c>
      <c r="O730" s="13">
        <f t="shared" si="55"/>
        <v>21.87</v>
      </c>
      <c r="P730" s="13">
        <f>_xlfn.XLOOKUP(Orders[[#This Row],[Product ID]],products!$A$1:$A$49,products!$G$1:$G$49,,0)</f>
        <v>0.80190000000000006</v>
      </c>
      <c r="Q730" s="13">
        <f t="shared" si="56"/>
        <v>2.4057000000000004</v>
      </c>
      <c r="R730" t="str">
        <f t="shared" si="58"/>
        <v>Execelsa</v>
      </c>
      <c r="S730" t="str">
        <f t="shared" si="59"/>
        <v>Dark</v>
      </c>
      <c r="T730" t="str">
        <f>_xlfn.XLOOKUP(Orders[[#This Row],[Customer ID]],customers!$A$1:$A$1001,customers!$I$1:$I$1001,,0)</f>
        <v>Yes</v>
      </c>
    </row>
    <row r="731" spans="1:20" x14ac:dyDescent="0.35">
      <c r="A731" s="2" t="s">
        <v>4608</v>
      </c>
      <c r="B731" s="3">
        <v>44634</v>
      </c>
      <c r="C731" s="2" t="s">
        <v>4609</v>
      </c>
      <c r="D731" t="s">
        <v>6159</v>
      </c>
      <c r="E731" t="str">
        <f t="shared" si="57"/>
        <v>Liberica-Medium-0.2</v>
      </c>
      <c r="F731" s="2">
        <v>1</v>
      </c>
      <c r="G731" s="2" t="str" cm="1">
        <f t="array" ref="G731">_xlfn.XLOOKUP(C731, customers!$A$1:A1730,customers!$B$1:B1730,,0)</f>
        <v>Selle Scurrer</v>
      </c>
      <c r="H731" s="2" t="str" cm="1">
        <f t="array" ref="H731">IF(_xlfn.XLOOKUP(C731,customers!$A$1:A1730,customers!$C$1:C1730,,0) = 0,"", _xlfn.XLOOKUP(C731,customers!$A$1:A1730,customers!$C$1:C1730,,0))</f>
        <v>sscurrerk9@flavors.me</v>
      </c>
      <c r="I731" s="2" t="str">
        <f>_xlfn.XLOOKUP(C731,customers!$A$1:$A$1001,customers!$G$1:$G$1001,,0)</f>
        <v>United Kingdom</v>
      </c>
      <c r="J731" s="2" t="str">
        <f>_xlfn.XLOOKUP(Orders[[#This Row],[Customer ID]],customers!$A$1:$A$1001,customers!$F$1:$F$1001,,0)</f>
        <v>Upton</v>
      </c>
      <c r="K731" t="str">
        <f>INDEX(products!$A$1:$G$49,MATCH(orders!$D731,products!$A$1:$A$49,0),MATCH(orders!K$1,products!$A$1:$G$1,0))</f>
        <v>Lib</v>
      </c>
      <c r="L731" t="str">
        <f>INDEX(products!$A$1:$G$49,MATCH(orders!$D731,products!$A$1:$A$49,0),MATCH(orders!L$1,products!$A$1:$G$1,0))</f>
        <v>M</v>
      </c>
      <c r="M731" s="14">
        <f>INDEX(products!$A$1:$G$49,MATCH(orders!$D731,products!$A$1:$A$49,0),MATCH(orders!M$1,products!$A$1:$G$1,0))</f>
        <v>0.2</v>
      </c>
      <c r="N731" s="4">
        <f>INDEX(products!$A$1:$G$49,MATCH(orders!$D731,products!$A$1:$A$49,0),MATCH(orders!N$1,products!$A$1:$G$1,0))</f>
        <v>4.3650000000000002</v>
      </c>
      <c r="O731" s="13">
        <f t="shared" si="55"/>
        <v>4.3650000000000002</v>
      </c>
      <c r="P731" s="13">
        <f>_xlfn.XLOOKUP(Orders[[#This Row],[Product ID]],products!$A$1:$A$49,products!$G$1:$G$49,,0)</f>
        <v>0.56745000000000001</v>
      </c>
      <c r="Q731" s="13">
        <f t="shared" si="56"/>
        <v>0.56745000000000001</v>
      </c>
      <c r="R731" t="str">
        <f t="shared" si="58"/>
        <v>Liberica</v>
      </c>
      <c r="S731" t="str">
        <f t="shared" si="59"/>
        <v>Medium</v>
      </c>
      <c r="T731" t="str">
        <f>_xlfn.XLOOKUP(Orders[[#This Row],[Customer ID]],customers!$A$1:$A$1001,customers!$I$1:$I$1001,,0)</f>
        <v>No</v>
      </c>
    </row>
    <row r="732" spans="1:20" x14ac:dyDescent="0.35">
      <c r="A732" s="2" t="s">
        <v>4614</v>
      </c>
      <c r="B732" s="3">
        <v>43475</v>
      </c>
      <c r="C732" s="2" t="s">
        <v>4615</v>
      </c>
      <c r="D732" t="s">
        <v>6164</v>
      </c>
      <c r="E732" t="str">
        <f t="shared" si="57"/>
        <v>Liberica-Light-2.5</v>
      </c>
      <c r="F732" s="2">
        <v>1</v>
      </c>
      <c r="G732" s="2" t="str" cm="1">
        <f t="array" ref="G732">_xlfn.XLOOKUP(C732, customers!$A$1:A1731,customers!$B$1:B1731,,0)</f>
        <v>Andie Rudram</v>
      </c>
      <c r="H732" s="2" t="str" cm="1">
        <f t="array" ref="H732">IF(_xlfn.XLOOKUP(C732,customers!$A$1:A1731,customers!$C$1:C1731,,0) = 0,"", _xlfn.XLOOKUP(C732,customers!$A$1:A1731,customers!$C$1:C1731,,0))</f>
        <v>arudramka@prnewswire.com</v>
      </c>
      <c r="I732" s="2" t="str">
        <f>_xlfn.XLOOKUP(C732,customers!$A$1:$A$1001,customers!$G$1:$G$1001,,0)</f>
        <v>United States</v>
      </c>
      <c r="J732" s="2" t="str">
        <f>_xlfn.XLOOKUP(Orders[[#This Row],[Customer ID]],customers!$A$1:$A$1001,customers!$F$1:$F$1001,,0)</f>
        <v>Las Vegas</v>
      </c>
      <c r="K732" t="str">
        <f>INDEX(products!$A$1:$G$49,MATCH(orders!$D732,products!$A$1:$A$49,0),MATCH(orders!K$1,products!$A$1:$G$1,0))</f>
        <v>Lib</v>
      </c>
      <c r="L732" t="str">
        <f>INDEX(products!$A$1:$G$49,MATCH(orders!$D732,products!$A$1:$A$49,0),MATCH(orders!L$1,products!$A$1:$G$1,0))</f>
        <v>L</v>
      </c>
      <c r="M732" s="14">
        <f>INDEX(products!$A$1:$G$49,MATCH(orders!$D732,products!$A$1:$A$49,0),MATCH(orders!M$1,products!$A$1:$G$1,0))</f>
        <v>2.5</v>
      </c>
      <c r="N732" s="4">
        <f>INDEX(products!$A$1:$G$49,MATCH(orders!$D732,products!$A$1:$A$49,0),MATCH(orders!N$1,products!$A$1:$G$1,0))</f>
        <v>36.454999999999998</v>
      </c>
      <c r="O732" s="13">
        <f t="shared" si="55"/>
        <v>36.454999999999998</v>
      </c>
      <c r="P732" s="13">
        <f>_xlfn.XLOOKUP(Orders[[#This Row],[Product ID]],products!$A$1:$A$49,products!$G$1:$G$49,,0)</f>
        <v>4.7391499999999995</v>
      </c>
      <c r="Q732" s="13">
        <f t="shared" si="56"/>
        <v>4.7391499999999995</v>
      </c>
      <c r="R732" t="str">
        <f t="shared" si="58"/>
        <v>Liberica</v>
      </c>
      <c r="S732" t="str">
        <f t="shared" si="59"/>
        <v>Light</v>
      </c>
      <c r="T732" t="str">
        <f>_xlfn.XLOOKUP(Orders[[#This Row],[Customer ID]],customers!$A$1:$A$1001,customers!$I$1:$I$1001,,0)</f>
        <v>No</v>
      </c>
    </row>
    <row r="733" spans="1:20" x14ac:dyDescent="0.35">
      <c r="A733" s="2" t="s">
        <v>4620</v>
      </c>
      <c r="B733" s="3">
        <v>44222</v>
      </c>
      <c r="C733" s="2" t="s">
        <v>4621</v>
      </c>
      <c r="D733" t="s">
        <v>6150</v>
      </c>
      <c r="E733" t="str">
        <f t="shared" si="57"/>
        <v>Liberica-Dark-0.2</v>
      </c>
      <c r="F733" s="2">
        <v>4</v>
      </c>
      <c r="G733" s="2" t="str" cm="1">
        <f t="array" ref="G733">_xlfn.XLOOKUP(C733, customers!$A$1:A1732,customers!$B$1:B1732,,0)</f>
        <v>Leta Clarricoates</v>
      </c>
      <c r="H733" s="2" t="str" cm="1">
        <f t="array" ref="H733">IF(_xlfn.XLOOKUP(C733,customers!$A$1:A1732,customers!$C$1:C1732,,0) = 0,"", _xlfn.XLOOKUP(C733,customers!$A$1:A1732,customers!$C$1:C1732,,0))</f>
        <v/>
      </c>
      <c r="I733" s="2" t="str">
        <f>_xlfn.XLOOKUP(C733,customers!$A$1:$A$1001,customers!$G$1:$G$1001,,0)</f>
        <v>United States</v>
      </c>
      <c r="J733" s="2" t="str">
        <f>_xlfn.XLOOKUP(Orders[[#This Row],[Customer ID]],customers!$A$1:$A$1001,customers!$F$1:$F$1001,,0)</f>
        <v>Wilmington</v>
      </c>
      <c r="K733" t="str">
        <f>INDEX(products!$A$1:$G$49,MATCH(orders!$D733,products!$A$1:$A$49,0),MATCH(orders!K$1,products!$A$1:$G$1,0))</f>
        <v>Lib</v>
      </c>
      <c r="L733" t="str">
        <f>INDEX(products!$A$1:$G$49,MATCH(orders!$D733,products!$A$1:$A$49,0),MATCH(orders!L$1,products!$A$1:$G$1,0))</f>
        <v>D</v>
      </c>
      <c r="M733" s="14">
        <f>INDEX(products!$A$1:$G$49,MATCH(orders!$D733,products!$A$1:$A$49,0),MATCH(orders!M$1,products!$A$1:$G$1,0))</f>
        <v>0.2</v>
      </c>
      <c r="N733" s="4">
        <f>INDEX(products!$A$1:$G$49,MATCH(orders!$D733,products!$A$1:$A$49,0),MATCH(orders!N$1,products!$A$1:$G$1,0))</f>
        <v>3.8849999999999998</v>
      </c>
      <c r="O733" s="13">
        <f t="shared" si="55"/>
        <v>15.54</v>
      </c>
      <c r="P733" s="13">
        <f>_xlfn.XLOOKUP(Orders[[#This Row],[Product ID]],products!$A$1:$A$49,products!$G$1:$G$49,,0)</f>
        <v>0.50505</v>
      </c>
      <c r="Q733" s="13">
        <f t="shared" si="56"/>
        <v>2.0202</v>
      </c>
      <c r="R733" t="str">
        <f t="shared" si="58"/>
        <v>Liberica</v>
      </c>
      <c r="S733" t="str">
        <f t="shared" si="59"/>
        <v>Dark</v>
      </c>
      <c r="T733" t="str">
        <f>_xlfn.XLOOKUP(Orders[[#This Row],[Customer ID]],customers!$A$1:$A$1001,customers!$I$1:$I$1001,,0)</f>
        <v>Yes</v>
      </c>
    </row>
    <row r="734" spans="1:20" x14ac:dyDescent="0.35">
      <c r="A734" s="2" t="s">
        <v>4625</v>
      </c>
      <c r="B734" s="3">
        <v>44312</v>
      </c>
      <c r="C734" s="2" t="s">
        <v>4626</v>
      </c>
      <c r="D734" t="s">
        <v>6184</v>
      </c>
      <c r="E734" t="str">
        <f t="shared" si="57"/>
        <v>Excelsa-Light-0.2</v>
      </c>
      <c r="F734" s="2">
        <v>2</v>
      </c>
      <c r="G734" s="2" t="str" cm="1">
        <f t="array" ref="G734">_xlfn.XLOOKUP(C734, customers!$A$1:A1733,customers!$B$1:B1733,,0)</f>
        <v>Jacquelyn Maha</v>
      </c>
      <c r="H734" s="2" t="str" cm="1">
        <f t="array" ref="H734">IF(_xlfn.XLOOKUP(C734,customers!$A$1:A1733,customers!$C$1:C1733,,0) = 0,"", _xlfn.XLOOKUP(C734,customers!$A$1:A1733,customers!$C$1:C1733,,0))</f>
        <v>jmahakc@cyberchimps.com</v>
      </c>
      <c r="I734" s="2" t="str">
        <f>_xlfn.XLOOKUP(C734,customers!$A$1:$A$1001,customers!$G$1:$G$1001,,0)</f>
        <v>United States</v>
      </c>
      <c r="J734" s="2" t="str">
        <f>_xlfn.XLOOKUP(Orders[[#This Row],[Customer ID]],customers!$A$1:$A$1001,customers!$F$1:$F$1001,,0)</f>
        <v>Reno</v>
      </c>
      <c r="K734" t="str">
        <f>INDEX(products!$A$1:$G$49,MATCH(orders!$D734,products!$A$1:$A$49,0),MATCH(orders!K$1,products!$A$1:$G$1,0))</f>
        <v>Exc</v>
      </c>
      <c r="L734" t="str">
        <f>INDEX(products!$A$1:$G$49,MATCH(orders!$D734,products!$A$1:$A$49,0),MATCH(orders!L$1,products!$A$1:$G$1,0))</f>
        <v>L</v>
      </c>
      <c r="M734" s="14">
        <f>INDEX(products!$A$1:$G$49,MATCH(orders!$D734,products!$A$1:$A$49,0),MATCH(orders!M$1,products!$A$1:$G$1,0))</f>
        <v>0.2</v>
      </c>
      <c r="N734" s="4">
        <f>INDEX(products!$A$1:$G$49,MATCH(orders!$D734,products!$A$1:$A$49,0),MATCH(orders!N$1,products!$A$1:$G$1,0))</f>
        <v>4.4550000000000001</v>
      </c>
      <c r="O734" s="13">
        <f t="shared" si="55"/>
        <v>8.91</v>
      </c>
      <c r="P734" s="13">
        <f>_xlfn.XLOOKUP(Orders[[#This Row],[Product ID]],products!$A$1:$A$49,products!$G$1:$G$49,,0)</f>
        <v>0.49004999999999999</v>
      </c>
      <c r="Q734" s="13">
        <f t="shared" si="56"/>
        <v>0.98009999999999997</v>
      </c>
      <c r="R734" t="str">
        <f t="shared" si="58"/>
        <v>Execelsa</v>
      </c>
      <c r="S734" t="str">
        <f t="shared" si="59"/>
        <v>Light</v>
      </c>
      <c r="T734" t="str">
        <f>_xlfn.XLOOKUP(Orders[[#This Row],[Customer ID]],customers!$A$1:$A$1001,customers!$I$1:$I$1001,,0)</f>
        <v>No</v>
      </c>
    </row>
    <row r="735" spans="1:20" x14ac:dyDescent="0.35">
      <c r="A735" s="2" t="s">
        <v>4631</v>
      </c>
      <c r="B735" s="3">
        <v>44565</v>
      </c>
      <c r="C735" s="2" t="s">
        <v>4632</v>
      </c>
      <c r="D735" t="s">
        <v>6181</v>
      </c>
      <c r="E735" t="str">
        <f t="shared" si="57"/>
        <v>Liberica-Medium-2.5</v>
      </c>
      <c r="F735" s="2">
        <v>3</v>
      </c>
      <c r="G735" s="2" t="str" cm="1">
        <f t="array" ref="G735">_xlfn.XLOOKUP(C735, customers!$A$1:A1734,customers!$B$1:B1734,,0)</f>
        <v>Glory Clemon</v>
      </c>
      <c r="H735" s="2" t="str" cm="1">
        <f t="array" ref="H735">IF(_xlfn.XLOOKUP(C735,customers!$A$1:A1734,customers!$C$1:C1734,,0) = 0,"", _xlfn.XLOOKUP(C735,customers!$A$1:A1734,customers!$C$1:C1734,,0))</f>
        <v>gclemonkd@networksolutions.com</v>
      </c>
      <c r="I735" s="2" t="str">
        <f>_xlfn.XLOOKUP(C735,customers!$A$1:$A$1001,customers!$G$1:$G$1001,,0)</f>
        <v>United States</v>
      </c>
      <c r="J735" s="2" t="str">
        <f>_xlfn.XLOOKUP(Orders[[#This Row],[Customer ID]],customers!$A$1:$A$1001,customers!$F$1:$F$1001,,0)</f>
        <v>Tuscaloosa</v>
      </c>
      <c r="K735" t="str">
        <f>INDEX(products!$A$1:$G$49,MATCH(orders!$D735,products!$A$1:$A$49,0),MATCH(orders!K$1,products!$A$1:$G$1,0))</f>
        <v>Lib</v>
      </c>
      <c r="L735" t="str">
        <f>INDEX(products!$A$1:$G$49,MATCH(orders!$D735,products!$A$1:$A$49,0),MATCH(orders!L$1,products!$A$1:$G$1,0))</f>
        <v>M</v>
      </c>
      <c r="M735" s="14">
        <f>INDEX(products!$A$1:$G$49,MATCH(orders!$D735,products!$A$1:$A$49,0),MATCH(orders!M$1,products!$A$1:$G$1,0))</f>
        <v>2.5</v>
      </c>
      <c r="N735" s="4">
        <f>INDEX(products!$A$1:$G$49,MATCH(orders!$D735,products!$A$1:$A$49,0),MATCH(orders!N$1,products!$A$1:$G$1,0))</f>
        <v>33.464999999999996</v>
      </c>
      <c r="O735" s="13">
        <f t="shared" si="55"/>
        <v>100.39499999999998</v>
      </c>
      <c r="P735" s="13">
        <f>_xlfn.XLOOKUP(Orders[[#This Row],[Product ID]],products!$A$1:$A$49,products!$G$1:$G$49,,0)</f>
        <v>4.3504499999999995</v>
      </c>
      <c r="Q735" s="13">
        <f t="shared" si="56"/>
        <v>13.051349999999999</v>
      </c>
      <c r="R735" t="str">
        <f t="shared" si="58"/>
        <v>Liberica</v>
      </c>
      <c r="S735" t="str">
        <f t="shared" si="59"/>
        <v>Medium</v>
      </c>
      <c r="T735" t="str">
        <f>_xlfn.XLOOKUP(Orders[[#This Row],[Customer ID]],customers!$A$1:$A$1001,customers!$I$1:$I$1001,,0)</f>
        <v>Yes</v>
      </c>
    </row>
    <row r="736" spans="1:20" x14ac:dyDescent="0.35">
      <c r="A736" s="2" t="s">
        <v>4637</v>
      </c>
      <c r="B736" s="3">
        <v>43697</v>
      </c>
      <c r="C736" s="2" t="s">
        <v>4638</v>
      </c>
      <c r="D736" t="s">
        <v>6163</v>
      </c>
      <c r="E736" t="str">
        <f t="shared" si="57"/>
        <v>Robusta-Dark-0.2</v>
      </c>
      <c r="F736" s="2">
        <v>5</v>
      </c>
      <c r="G736" s="2" t="str" cm="1">
        <f t="array" ref="G736">_xlfn.XLOOKUP(C736, customers!$A$1:A1735,customers!$B$1:B1735,,0)</f>
        <v>Alica Kift</v>
      </c>
      <c r="H736" s="2" t="str" cm="1">
        <f t="array" ref="H736">IF(_xlfn.XLOOKUP(C736,customers!$A$1:A1735,customers!$C$1:C1735,,0) = 0,"", _xlfn.XLOOKUP(C736,customers!$A$1:A1735,customers!$C$1:C1735,,0))</f>
        <v/>
      </c>
      <c r="I736" s="2" t="str">
        <f>_xlfn.XLOOKUP(C736,customers!$A$1:$A$1001,customers!$G$1:$G$1001,,0)</f>
        <v>United States</v>
      </c>
      <c r="J736" s="2" t="str">
        <f>_xlfn.XLOOKUP(Orders[[#This Row],[Customer ID]],customers!$A$1:$A$1001,customers!$F$1:$F$1001,,0)</f>
        <v>Garden Grove</v>
      </c>
      <c r="K736" t="str">
        <f>INDEX(products!$A$1:$G$49,MATCH(orders!$D736,products!$A$1:$A$49,0),MATCH(orders!K$1,products!$A$1:$G$1,0))</f>
        <v>Rob</v>
      </c>
      <c r="L736" t="str">
        <f>INDEX(products!$A$1:$G$49,MATCH(orders!$D736,products!$A$1:$A$49,0),MATCH(orders!L$1,products!$A$1:$G$1,0))</f>
        <v>D</v>
      </c>
      <c r="M736" s="14">
        <f>INDEX(products!$A$1:$G$49,MATCH(orders!$D736,products!$A$1:$A$49,0),MATCH(orders!M$1,products!$A$1:$G$1,0))</f>
        <v>0.2</v>
      </c>
      <c r="N736" s="4">
        <f>INDEX(products!$A$1:$G$49,MATCH(orders!$D736,products!$A$1:$A$49,0),MATCH(orders!N$1,products!$A$1:$G$1,0))</f>
        <v>2.6849999999999996</v>
      </c>
      <c r="O736" s="13">
        <f t="shared" si="55"/>
        <v>13.424999999999997</v>
      </c>
      <c r="P736" s="13">
        <f>_xlfn.XLOOKUP(Orders[[#This Row],[Product ID]],products!$A$1:$A$49,products!$G$1:$G$49,,0)</f>
        <v>0.16109999999999997</v>
      </c>
      <c r="Q736" s="13">
        <f t="shared" si="56"/>
        <v>0.80549999999999988</v>
      </c>
      <c r="R736" t="str">
        <f t="shared" si="58"/>
        <v>Robusta</v>
      </c>
      <c r="S736" t="str">
        <f t="shared" si="59"/>
        <v>Dark</v>
      </c>
      <c r="T736" t="str">
        <f>_xlfn.XLOOKUP(Orders[[#This Row],[Customer ID]],customers!$A$1:$A$1001,customers!$I$1:$I$1001,,0)</f>
        <v>No</v>
      </c>
    </row>
    <row r="737" spans="1:20" x14ac:dyDescent="0.35">
      <c r="A737" s="2" t="s">
        <v>4642</v>
      </c>
      <c r="B737" s="3">
        <v>44757</v>
      </c>
      <c r="C737" s="2" t="s">
        <v>4643</v>
      </c>
      <c r="D737" t="s">
        <v>6153</v>
      </c>
      <c r="E737" t="str">
        <f t="shared" si="57"/>
        <v>Excelsa-Dark-0.2</v>
      </c>
      <c r="F737" s="2">
        <v>6</v>
      </c>
      <c r="G737" s="2" t="str" cm="1">
        <f t="array" ref="G737">_xlfn.XLOOKUP(C737, customers!$A$1:A1736,customers!$B$1:B1736,,0)</f>
        <v>Babb Pollins</v>
      </c>
      <c r="H737" s="2" t="str" cm="1">
        <f t="array" ref="H737">IF(_xlfn.XLOOKUP(C737,customers!$A$1:A1736,customers!$C$1:C1736,,0) = 0,"", _xlfn.XLOOKUP(C737,customers!$A$1:A1736,customers!$C$1:C1736,,0))</f>
        <v>bpollinskf@shinystat.com</v>
      </c>
      <c r="I737" s="2" t="str">
        <f>_xlfn.XLOOKUP(C737,customers!$A$1:$A$1001,customers!$G$1:$G$1001,,0)</f>
        <v>United States</v>
      </c>
      <c r="J737" s="2" t="str">
        <f>_xlfn.XLOOKUP(Orders[[#This Row],[Customer ID]],customers!$A$1:$A$1001,customers!$F$1:$F$1001,,0)</f>
        <v>Shawnee Mission</v>
      </c>
      <c r="K737" t="str">
        <f>INDEX(products!$A$1:$G$49,MATCH(orders!$D737,products!$A$1:$A$49,0),MATCH(orders!K$1,products!$A$1:$G$1,0))</f>
        <v>Exc</v>
      </c>
      <c r="L737" t="str">
        <f>INDEX(products!$A$1:$G$49,MATCH(orders!$D737,products!$A$1:$A$49,0),MATCH(orders!L$1,products!$A$1:$G$1,0))</f>
        <v>D</v>
      </c>
      <c r="M737" s="14">
        <f>INDEX(products!$A$1:$G$49,MATCH(orders!$D737,products!$A$1:$A$49,0),MATCH(orders!M$1,products!$A$1:$G$1,0))</f>
        <v>0.2</v>
      </c>
      <c r="N737" s="4">
        <f>INDEX(products!$A$1:$G$49,MATCH(orders!$D737,products!$A$1:$A$49,0),MATCH(orders!N$1,products!$A$1:$G$1,0))</f>
        <v>3.645</v>
      </c>
      <c r="O737" s="13">
        <f t="shared" si="55"/>
        <v>21.87</v>
      </c>
      <c r="P737" s="13">
        <f>_xlfn.XLOOKUP(Orders[[#This Row],[Product ID]],products!$A$1:$A$49,products!$G$1:$G$49,,0)</f>
        <v>0.40095000000000003</v>
      </c>
      <c r="Q737" s="13">
        <f t="shared" si="56"/>
        <v>2.4057000000000004</v>
      </c>
      <c r="R737" t="str">
        <f t="shared" si="58"/>
        <v>Execelsa</v>
      </c>
      <c r="S737" t="str">
        <f t="shared" si="59"/>
        <v>Dark</v>
      </c>
      <c r="T737" t="str">
        <f>_xlfn.XLOOKUP(Orders[[#This Row],[Customer ID]],customers!$A$1:$A$1001,customers!$I$1:$I$1001,,0)</f>
        <v>No</v>
      </c>
    </row>
    <row r="738" spans="1:20" x14ac:dyDescent="0.35">
      <c r="A738" s="2" t="s">
        <v>4647</v>
      </c>
      <c r="B738" s="3">
        <v>43508</v>
      </c>
      <c r="C738" s="2" t="s">
        <v>4648</v>
      </c>
      <c r="D738" t="s">
        <v>6143</v>
      </c>
      <c r="E738" t="str">
        <f t="shared" si="57"/>
        <v>Liberica-Dark-1</v>
      </c>
      <c r="F738" s="2">
        <v>2</v>
      </c>
      <c r="G738" s="2" t="str" cm="1">
        <f t="array" ref="G738">_xlfn.XLOOKUP(C738, customers!$A$1:A1737,customers!$B$1:B1737,,0)</f>
        <v>Jarret Toye</v>
      </c>
      <c r="H738" s="2" t="str" cm="1">
        <f t="array" ref="H738">IF(_xlfn.XLOOKUP(C738,customers!$A$1:A1737,customers!$C$1:C1737,,0) = 0,"", _xlfn.XLOOKUP(C738,customers!$A$1:A1737,customers!$C$1:C1737,,0))</f>
        <v>jtoyekg@pinterest.com</v>
      </c>
      <c r="I738" s="2" t="str">
        <f>_xlfn.XLOOKUP(C738,customers!$A$1:$A$1001,customers!$G$1:$G$1001,,0)</f>
        <v>Ireland</v>
      </c>
      <c r="J738" s="2" t="str">
        <f>_xlfn.XLOOKUP(Orders[[#This Row],[Customer ID]],customers!$A$1:$A$1001,customers!$F$1:$F$1001,,0)</f>
        <v>Ballivor</v>
      </c>
      <c r="K738" t="str">
        <f>INDEX(products!$A$1:$G$49,MATCH(orders!$D738,products!$A$1:$A$49,0),MATCH(orders!K$1,products!$A$1:$G$1,0))</f>
        <v>Lib</v>
      </c>
      <c r="L738" t="str">
        <f>INDEX(products!$A$1:$G$49,MATCH(orders!$D738,products!$A$1:$A$49,0),MATCH(orders!L$1,products!$A$1:$G$1,0))</f>
        <v>D</v>
      </c>
      <c r="M738" s="14">
        <f>INDEX(products!$A$1:$G$49,MATCH(orders!$D738,products!$A$1:$A$49,0),MATCH(orders!M$1,products!$A$1:$G$1,0))</f>
        <v>1</v>
      </c>
      <c r="N738" s="4">
        <f>INDEX(products!$A$1:$G$49,MATCH(orders!$D738,products!$A$1:$A$49,0),MATCH(orders!N$1,products!$A$1:$G$1,0))</f>
        <v>12.95</v>
      </c>
      <c r="O738" s="13">
        <f t="shared" si="55"/>
        <v>25.9</v>
      </c>
      <c r="P738" s="13">
        <f>_xlfn.XLOOKUP(Orders[[#This Row],[Product ID]],products!$A$1:$A$49,products!$G$1:$G$49,,0)</f>
        <v>1.6835</v>
      </c>
      <c r="Q738" s="13">
        <f t="shared" si="56"/>
        <v>3.367</v>
      </c>
      <c r="R738" t="str">
        <f t="shared" si="58"/>
        <v>Liberica</v>
      </c>
      <c r="S738" t="str">
        <f t="shared" si="59"/>
        <v>Dark</v>
      </c>
      <c r="T738" t="str">
        <f>_xlfn.XLOOKUP(Orders[[#This Row],[Customer ID]],customers!$A$1:$A$1001,customers!$I$1:$I$1001,,0)</f>
        <v>Yes</v>
      </c>
    </row>
    <row r="739" spans="1:20" x14ac:dyDescent="0.35">
      <c r="A739" s="2" t="s">
        <v>4653</v>
      </c>
      <c r="B739" s="3">
        <v>44447</v>
      </c>
      <c r="C739" s="2" t="s">
        <v>4654</v>
      </c>
      <c r="D739" t="s">
        <v>6155</v>
      </c>
      <c r="E739" t="str">
        <f t="shared" si="57"/>
        <v>Arabica-Medium-1</v>
      </c>
      <c r="F739" s="2">
        <v>5</v>
      </c>
      <c r="G739" s="2" t="str" cm="1">
        <f t="array" ref="G739">_xlfn.XLOOKUP(C739, customers!$A$1:A1738,customers!$B$1:B1738,,0)</f>
        <v>Carlie Linskill</v>
      </c>
      <c r="H739" s="2" t="str" cm="1">
        <f t="array" ref="H739">IF(_xlfn.XLOOKUP(C739,customers!$A$1:A1738,customers!$C$1:C1738,,0) = 0,"", _xlfn.XLOOKUP(C739,customers!$A$1:A1738,customers!$C$1:C1738,,0))</f>
        <v>clinskillkh@sphinn.com</v>
      </c>
      <c r="I739" s="2" t="str">
        <f>_xlfn.XLOOKUP(C739,customers!$A$1:$A$1001,customers!$G$1:$G$1001,,0)</f>
        <v>United States</v>
      </c>
      <c r="J739" s="2" t="str">
        <f>_xlfn.XLOOKUP(Orders[[#This Row],[Customer ID]],customers!$A$1:$A$1001,customers!$F$1:$F$1001,,0)</f>
        <v>Cincinnati</v>
      </c>
      <c r="K739" t="str">
        <f>INDEX(products!$A$1:$G$49,MATCH(orders!$D739,products!$A$1:$A$49,0),MATCH(orders!K$1,products!$A$1:$G$1,0))</f>
        <v>Ara</v>
      </c>
      <c r="L739" t="str">
        <f>INDEX(products!$A$1:$G$49,MATCH(orders!$D739,products!$A$1:$A$49,0),MATCH(orders!L$1,products!$A$1:$G$1,0))</f>
        <v>M</v>
      </c>
      <c r="M739" s="14">
        <f>INDEX(products!$A$1:$G$49,MATCH(orders!$D739,products!$A$1:$A$49,0),MATCH(orders!M$1,products!$A$1:$G$1,0))</f>
        <v>1</v>
      </c>
      <c r="N739" s="4">
        <f>INDEX(products!$A$1:$G$49,MATCH(orders!$D739,products!$A$1:$A$49,0),MATCH(orders!N$1,products!$A$1:$G$1,0))</f>
        <v>11.25</v>
      </c>
      <c r="O739" s="13">
        <f t="shared" si="55"/>
        <v>56.25</v>
      </c>
      <c r="P739" s="13">
        <f>_xlfn.XLOOKUP(Orders[[#This Row],[Product ID]],products!$A$1:$A$49,products!$G$1:$G$49,,0)</f>
        <v>1.0125</v>
      </c>
      <c r="Q739" s="13">
        <f t="shared" si="56"/>
        <v>5.0625</v>
      </c>
      <c r="R739" t="str">
        <f t="shared" si="58"/>
        <v>Arabica</v>
      </c>
      <c r="S739" t="str">
        <f t="shared" si="59"/>
        <v>Medium</v>
      </c>
      <c r="T739" t="str">
        <f>_xlfn.XLOOKUP(Orders[[#This Row],[Customer ID]],customers!$A$1:$A$1001,customers!$I$1:$I$1001,,0)</f>
        <v>No</v>
      </c>
    </row>
    <row r="740" spans="1:20" x14ac:dyDescent="0.35">
      <c r="A740" s="2" t="s">
        <v>4659</v>
      </c>
      <c r="B740" s="3">
        <v>43812</v>
      </c>
      <c r="C740" s="2" t="s">
        <v>4660</v>
      </c>
      <c r="D740" t="s">
        <v>6178</v>
      </c>
      <c r="E740" t="str">
        <f t="shared" si="57"/>
        <v>Robusta-Light-0.2</v>
      </c>
      <c r="F740" s="2">
        <v>3</v>
      </c>
      <c r="G740" s="2" t="str" cm="1">
        <f t="array" ref="G740">_xlfn.XLOOKUP(C740, customers!$A$1:A1739,customers!$B$1:B1739,,0)</f>
        <v>Natal Vigrass</v>
      </c>
      <c r="H740" s="2" t="str" cm="1">
        <f t="array" ref="H740">IF(_xlfn.XLOOKUP(C740,customers!$A$1:A1739,customers!$C$1:C1739,,0) = 0,"", _xlfn.XLOOKUP(C740,customers!$A$1:A1739,customers!$C$1:C1739,,0))</f>
        <v>nvigrasski@ezinearticles.com</v>
      </c>
      <c r="I740" s="2" t="str">
        <f>_xlfn.XLOOKUP(C740,customers!$A$1:$A$1001,customers!$G$1:$G$1001,,0)</f>
        <v>United Kingdom</v>
      </c>
      <c r="J740" s="2" t="str">
        <f>_xlfn.XLOOKUP(Orders[[#This Row],[Customer ID]],customers!$A$1:$A$1001,customers!$F$1:$F$1001,,0)</f>
        <v>Whitwell</v>
      </c>
      <c r="K740" t="str">
        <f>INDEX(products!$A$1:$G$49,MATCH(orders!$D740,products!$A$1:$A$49,0),MATCH(orders!K$1,products!$A$1:$G$1,0))</f>
        <v>Rob</v>
      </c>
      <c r="L740" t="str">
        <f>INDEX(products!$A$1:$G$49,MATCH(orders!$D740,products!$A$1:$A$49,0),MATCH(orders!L$1,products!$A$1:$G$1,0))</f>
        <v>L</v>
      </c>
      <c r="M740" s="14">
        <f>INDEX(products!$A$1:$G$49,MATCH(orders!$D740,products!$A$1:$A$49,0),MATCH(orders!M$1,products!$A$1:$G$1,0))</f>
        <v>0.2</v>
      </c>
      <c r="N740" s="4">
        <f>INDEX(products!$A$1:$G$49,MATCH(orders!$D740,products!$A$1:$A$49,0),MATCH(orders!N$1,products!$A$1:$G$1,0))</f>
        <v>3.5849999999999995</v>
      </c>
      <c r="O740" s="13">
        <f t="shared" si="55"/>
        <v>10.754999999999999</v>
      </c>
      <c r="P740" s="13">
        <f>_xlfn.XLOOKUP(Orders[[#This Row],[Product ID]],products!$A$1:$A$49,products!$G$1:$G$49,,0)</f>
        <v>0.21509999999999996</v>
      </c>
      <c r="Q740" s="13">
        <f t="shared" si="56"/>
        <v>0.64529999999999987</v>
      </c>
      <c r="R740" t="str">
        <f t="shared" si="58"/>
        <v>Robusta</v>
      </c>
      <c r="S740" t="str">
        <f t="shared" si="59"/>
        <v>Light</v>
      </c>
      <c r="T740" t="str">
        <f>_xlfn.XLOOKUP(Orders[[#This Row],[Customer ID]],customers!$A$1:$A$1001,customers!$I$1:$I$1001,,0)</f>
        <v>No</v>
      </c>
    </row>
    <row r="741" spans="1:20" x14ac:dyDescent="0.35">
      <c r="A741" s="2" t="s">
        <v>4665</v>
      </c>
      <c r="B741" s="3">
        <v>44433</v>
      </c>
      <c r="C741" s="2" t="s">
        <v>4434</v>
      </c>
      <c r="D741" t="s">
        <v>6153</v>
      </c>
      <c r="E741" t="str">
        <f t="shared" si="57"/>
        <v>Excelsa-Dark-0.2</v>
      </c>
      <c r="F741" s="2">
        <v>5</v>
      </c>
      <c r="G741" s="2" t="str" cm="1">
        <f t="array" ref="G741">_xlfn.XLOOKUP(C741, customers!$A$1:A1740,customers!$B$1:B1740,,0)</f>
        <v>Jimmy Dymoke</v>
      </c>
      <c r="H741" s="2" t="str" cm="1">
        <f t="array" ref="H741">IF(_xlfn.XLOOKUP(C741,customers!$A$1:A1740,customers!$C$1:C1740,,0) = 0,"", _xlfn.XLOOKUP(C741,customers!$A$1:A1740,customers!$C$1:C1740,,0))</f>
        <v>jdymokeje@prnewswire.com</v>
      </c>
      <c r="I741" s="2" t="str">
        <f>_xlfn.XLOOKUP(C741,customers!$A$1:$A$1001,customers!$G$1:$G$1001,,0)</f>
        <v>Ireland</v>
      </c>
      <c r="J741" s="2" t="str">
        <f>_xlfn.XLOOKUP(Orders[[#This Row],[Customer ID]],customers!$A$1:$A$1001,customers!$F$1:$F$1001,,0)</f>
        <v>Beaumont</v>
      </c>
      <c r="K741" t="str">
        <f>INDEX(products!$A$1:$G$49,MATCH(orders!$D741,products!$A$1:$A$49,0),MATCH(orders!K$1,products!$A$1:$G$1,0))</f>
        <v>Exc</v>
      </c>
      <c r="L741" t="str">
        <f>INDEX(products!$A$1:$G$49,MATCH(orders!$D741,products!$A$1:$A$49,0),MATCH(orders!L$1,products!$A$1:$G$1,0))</f>
        <v>D</v>
      </c>
      <c r="M741" s="14">
        <f>INDEX(products!$A$1:$G$49,MATCH(orders!$D741,products!$A$1:$A$49,0),MATCH(orders!M$1,products!$A$1:$G$1,0))</f>
        <v>0.2</v>
      </c>
      <c r="N741" s="4">
        <f>INDEX(products!$A$1:$G$49,MATCH(orders!$D741,products!$A$1:$A$49,0),MATCH(orders!N$1,products!$A$1:$G$1,0))</f>
        <v>3.645</v>
      </c>
      <c r="O741" s="13">
        <f t="shared" si="55"/>
        <v>18.225000000000001</v>
      </c>
      <c r="P741" s="13">
        <f>_xlfn.XLOOKUP(Orders[[#This Row],[Product ID]],products!$A$1:$A$49,products!$G$1:$G$49,,0)</f>
        <v>0.40095000000000003</v>
      </c>
      <c r="Q741" s="13">
        <f t="shared" si="56"/>
        <v>2.00475</v>
      </c>
      <c r="R741" t="str">
        <f t="shared" si="58"/>
        <v>Execelsa</v>
      </c>
      <c r="S741" t="str">
        <f t="shared" si="59"/>
        <v>Dark</v>
      </c>
      <c r="T741" t="str">
        <f>_xlfn.XLOOKUP(Orders[[#This Row],[Customer ID]],customers!$A$1:$A$1001,customers!$I$1:$I$1001,,0)</f>
        <v>No</v>
      </c>
    </row>
    <row r="742" spans="1:20" x14ac:dyDescent="0.35">
      <c r="A742" s="2" t="s">
        <v>4670</v>
      </c>
      <c r="B742" s="3">
        <v>44643</v>
      </c>
      <c r="C742" s="2" t="s">
        <v>4671</v>
      </c>
      <c r="D742" t="s">
        <v>6173</v>
      </c>
      <c r="E742" t="str">
        <f t="shared" si="57"/>
        <v>Robusta-Light-0.5</v>
      </c>
      <c r="F742" s="2">
        <v>4</v>
      </c>
      <c r="G742" s="2" t="str" cm="1">
        <f t="array" ref="G742">_xlfn.XLOOKUP(C742, customers!$A$1:A1741,customers!$B$1:B1741,,0)</f>
        <v>Kandace Cragell</v>
      </c>
      <c r="H742" s="2" t="str" cm="1">
        <f t="array" ref="H742">IF(_xlfn.XLOOKUP(C742,customers!$A$1:A1741,customers!$C$1:C1741,,0) = 0,"", _xlfn.XLOOKUP(C742,customers!$A$1:A1741,customers!$C$1:C1741,,0))</f>
        <v>kcragellkk@google.com</v>
      </c>
      <c r="I742" s="2" t="str">
        <f>_xlfn.XLOOKUP(C742,customers!$A$1:$A$1001,customers!$G$1:$G$1001,,0)</f>
        <v>Ireland</v>
      </c>
      <c r="J742" s="2" t="str">
        <f>_xlfn.XLOOKUP(Orders[[#This Row],[Customer ID]],customers!$A$1:$A$1001,customers!$F$1:$F$1001,,0)</f>
        <v>Dungarvan</v>
      </c>
      <c r="K742" t="str">
        <f>INDEX(products!$A$1:$G$49,MATCH(orders!$D742,products!$A$1:$A$49,0),MATCH(orders!K$1,products!$A$1:$G$1,0))</f>
        <v>Rob</v>
      </c>
      <c r="L742" t="str">
        <f>INDEX(products!$A$1:$G$49,MATCH(orders!$D742,products!$A$1:$A$49,0),MATCH(orders!L$1,products!$A$1:$G$1,0))</f>
        <v>L</v>
      </c>
      <c r="M742" s="14">
        <f>INDEX(products!$A$1:$G$49,MATCH(orders!$D742,products!$A$1:$A$49,0),MATCH(orders!M$1,products!$A$1:$G$1,0))</f>
        <v>0.5</v>
      </c>
      <c r="N742" s="4">
        <f>INDEX(products!$A$1:$G$49,MATCH(orders!$D742,products!$A$1:$A$49,0),MATCH(orders!N$1,products!$A$1:$G$1,0))</f>
        <v>7.169999999999999</v>
      </c>
      <c r="O742" s="13">
        <f t="shared" si="55"/>
        <v>28.679999999999996</v>
      </c>
      <c r="P742" s="13">
        <f>_xlfn.XLOOKUP(Orders[[#This Row],[Product ID]],products!$A$1:$A$49,products!$G$1:$G$49,,0)</f>
        <v>0.43019999999999992</v>
      </c>
      <c r="Q742" s="13">
        <f t="shared" si="56"/>
        <v>1.7207999999999997</v>
      </c>
      <c r="R742" t="str">
        <f t="shared" si="58"/>
        <v>Robusta</v>
      </c>
      <c r="S742" t="str">
        <f t="shared" si="59"/>
        <v>Light</v>
      </c>
      <c r="T742" t="str">
        <f>_xlfn.XLOOKUP(Orders[[#This Row],[Customer ID]],customers!$A$1:$A$1001,customers!$I$1:$I$1001,,0)</f>
        <v>No</v>
      </c>
    </row>
    <row r="743" spans="1:20" x14ac:dyDescent="0.35">
      <c r="A743" s="2" t="s">
        <v>4676</v>
      </c>
      <c r="B743" s="3">
        <v>43566</v>
      </c>
      <c r="C743" s="2" t="s">
        <v>4677</v>
      </c>
      <c r="D743" t="s">
        <v>6159</v>
      </c>
      <c r="E743" t="str">
        <f t="shared" si="57"/>
        <v>Liberica-Medium-0.2</v>
      </c>
      <c r="F743" s="2">
        <v>2</v>
      </c>
      <c r="G743" s="2" t="str" cm="1">
        <f t="array" ref="G743">_xlfn.XLOOKUP(C743, customers!$A$1:A1742,customers!$B$1:B1742,,0)</f>
        <v>Lyon Ibert</v>
      </c>
      <c r="H743" s="2" t="str" cm="1">
        <f t="array" ref="H743">IF(_xlfn.XLOOKUP(C743,customers!$A$1:A1742,customers!$C$1:C1742,,0) = 0,"", _xlfn.XLOOKUP(C743,customers!$A$1:A1742,customers!$C$1:C1742,,0))</f>
        <v>libertkl@huffingtonpost.com</v>
      </c>
      <c r="I743" s="2" t="str">
        <f>_xlfn.XLOOKUP(C743,customers!$A$1:$A$1001,customers!$G$1:$G$1001,,0)</f>
        <v>United States</v>
      </c>
      <c r="J743" s="2" t="str">
        <f>_xlfn.XLOOKUP(Orders[[#This Row],[Customer ID]],customers!$A$1:$A$1001,customers!$F$1:$F$1001,,0)</f>
        <v>Sunnyvale</v>
      </c>
      <c r="K743" t="str">
        <f>INDEX(products!$A$1:$G$49,MATCH(orders!$D743,products!$A$1:$A$49,0),MATCH(orders!K$1,products!$A$1:$G$1,0))</f>
        <v>Lib</v>
      </c>
      <c r="L743" t="str">
        <f>INDEX(products!$A$1:$G$49,MATCH(orders!$D743,products!$A$1:$A$49,0),MATCH(orders!L$1,products!$A$1:$G$1,0))</f>
        <v>M</v>
      </c>
      <c r="M743" s="14">
        <f>INDEX(products!$A$1:$G$49,MATCH(orders!$D743,products!$A$1:$A$49,0),MATCH(orders!M$1,products!$A$1:$G$1,0))</f>
        <v>0.2</v>
      </c>
      <c r="N743" s="4">
        <f>INDEX(products!$A$1:$G$49,MATCH(orders!$D743,products!$A$1:$A$49,0),MATCH(orders!N$1,products!$A$1:$G$1,0))</f>
        <v>4.3650000000000002</v>
      </c>
      <c r="O743" s="13">
        <f t="shared" si="55"/>
        <v>8.73</v>
      </c>
      <c r="P743" s="13">
        <f>_xlfn.XLOOKUP(Orders[[#This Row],[Product ID]],products!$A$1:$A$49,products!$G$1:$G$49,,0)</f>
        <v>0.56745000000000001</v>
      </c>
      <c r="Q743" s="13">
        <f t="shared" si="56"/>
        <v>1.1349</v>
      </c>
      <c r="R743" t="str">
        <f t="shared" si="58"/>
        <v>Liberica</v>
      </c>
      <c r="S743" t="str">
        <f t="shared" si="59"/>
        <v>Medium</v>
      </c>
      <c r="T743" t="str">
        <f>_xlfn.XLOOKUP(Orders[[#This Row],[Customer ID]],customers!$A$1:$A$1001,customers!$I$1:$I$1001,,0)</f>
        <v>No</v>
      </c>
    </row>
    <row r="744" spans="1:20" x14ac:dyDescent="0.35">
      <c r="A744" s="2" t="s">
        <v>4682</v>
      </c>
      <c r="B744" s="3">
        <v>44133</v>
      </c>
      <c r="C744" s="2" t="s">
        <v>4683</v>
      </c>
      <c r="D744" t="s">
        <v>6162</v>
      </c>
      <c r="E744" t="str">
        <f t="shared" si="57"/>
        <v>Liberica-Medium-1</v>
      </c>
      <c r="F744" s="2">
        <v>4</v>
      </c>
      <c r="G744" s="2" t="str" cm="1">
        <f t="array" ref="G744">_xlfn.XLOOKUP(C744, customers!$A$1:A1743,customers!$B$1:B1743,,0)</f>
        <v>Reese Lidgey</v>
      </c>
      <c r="H744" s="2" t="str" cm="1">
        <f t="array" ref="H744">IF(_xlfn.XLOOKUP(C744,customers!$A$1:A1743,customers!$C$1:C1743,,0) = 0,"", _xlfn.XLOOKUP(C744,customers!$A$1:A1743,customers!$C$1:C1743,,0))</f>
        <v>rlidgeykm@vimeo.com</v>
      </c>
      <c r="I744" s="2" t="str">
        <f>_xlfn.XLOOKUP(C744,customers!$A$1:$A$1001,customers!$G$1:$G$1001,,0)</f>
        <v>United States</v>
      </c>
      <c r="J744" s="2" t="str">
        <f>_xlfn.XLOOKUP(Orders[[#This Row],[Customer ID]],customers!$A$1:$A$1001,customers!$F$1:$F$1001,,0)</f>
        <v>Memphis</v>
      </c>
      <c r="K744" t="str">
        <f>INDEX(products!$A$1:$G$49,MATCH(orders!$D744,products!$A$1:$A$49,0),MATCH(orders!K$1,products!$A$1:$G$1,0))</f>
        <v>Lib</v>
      </c>
      <c r="L744" t="str">
        <f>INDEX(products!$A$1:$G$49,MATCH(orders!$D744,products!$A$1:$A$49,0),MATCH(orders!L$1,products!$A$1:$G$1,0))</f>
        <v>M</v>
      </c>
      <c r="M744" s="14">
        <f>INDEX(products!$A$1:$G$49,MATCH(orders!$D744,products!$A$1:$A$49,0),MATCH(orders!M$1,products!$A$1:$G$1,0))</f>
        <v>1</v>
      </c>
      <c r="N744" s="4">
        <f>INDEX(products!$A$1:$G$49,MATCH(orders!$D744,products!$A$1:$A$49,0),MATCH(orders!N$1,products!$A$1:$G$1,0))</f>
        <v>14.55</v>
      </c>
      <c r="O744" s="13">
        <f t="shared" si="55"/>
        <v>58.2</v>
      </c>
      <c r="P744" s="13">
        <f>_xlfn.XLOOKUP(Orders[[#This Row],[Product ID]],products!$A$1:$A$49,products!$G$1:$G$49,,0)</f>
        <v>1.8915000000000002</v>
      </c>
      <c r="Q744" s="13">
        <f t="shared" si="56"/>
        <v>7.5660000000000007</v>
      </c>
      <c r="R744" t="str">
        <f t="shared" si="58"/>
        <v>Liberica</v>
      </c>
      <c r="S744" t="str">
        <f t="shared" si="59"/>
        <v>Medium</v>
      </c>
      <c r="T744" t="str">
        <f>_xlfn.XLOOKUP(Orders[[#This Row],[Customer ID]],customers!$A$1:$A$1001,customers!$I$1:$I$1001,,0)</f>
        <v>No</v>
      </c>
    </row>
    <row r="745" spans="1:20" x14ac:dyDescent="0.35">
      <c r="A745" s="2" t="s">
        <v>4688</v>
      </c>
      <c r="B745" s="3">
        <v>44042</v>
      </c>
      <c r="C745" s="2" t="s">
        <v>4689</v>
      </c>
      <c r="D745" t="s">
        <v>6158</v>
      </c>
      <c r="E745" t="str">
        <f t="shared" si="57"/>
        <v>Arabica-Dark-0.5</v>
      </c>
      <c r="F745" s="2">
        <v>3</v>
      </c>
      <c r="G745" s="2" t="str" cm="1">
        <f t="array" ref="G745">_xlfn.XLOOKUP(C745, customers!$A$1:A1744,customers!$B$1:B1744,,0)</f>
        <v>Tersina Castagne</v>
      </c>
      <c r="H745" s="2" t="str" cm="1">
        <f t="array" ref="H745">IF(_xlfn.XLOOKUP(C745,customers!$A$1:A1744,customers!$C$1:C1744,,0) = 0,"", _xlfn.XLOOKUP(C745,customers!$A$1:A1744,customers!$C$1:C1744,,0))</f>
        <v>tcastagnekn@wikia.com</v>
      </c>
      <c r="I745" s="2" t="str">
        <f>_xlfn.XLOOKUP(C745,customers!$A$1:$A$1001,customers!$G$1:$G$1001,,0)</f>
        <v>United States</v>
      </c>
      <c r="J745" s="2" t="str">
        <f>_xlfn.XLOOKUP(Orders[[#This Row],[Customer ID]],customers!$A$1:$A$1001,customers!$F$1:$F$1001,,0)</f>
        <v>Orlando</v>
      </c>
      <c r="K745" t="str">
        <f>INDEX(products!$A$1:$G$49,MATCH(orders!$D745,products!$A$1:$A$49,0),MATCH(orders!K$1,products!$A$1:$G$1,0))</f>
        <v>Ara</v>
      </c>
      <c r="L745" t="str">
        <f>INDEX(products!$A$1:$G$49,MATCH(orders!$D745,products!$A$1:$A$49,0),MATCH(orders!L$1,products!$A$1:$G$1,0))</f>
        <v>D</v>
      </c>
      <c r="M745" s="14">
        <f>INDEX(products!$A$1:$G$49,MATCH(orders!$D745,products!$A$1:$A$49,0),MATCH(orders!M$1,products!$A$1:$G$1,0))</f>
        <v>0.5</v>
      </c>
      <c r="N745" s="4">
        <f>INDEX(products!$A$1:$G$49,MATCH(orders!$D745,products!$A$1:$A$49,0),MATCH(orders!N$1,products!$A$1:$G$1,0))</f>
        <v>5.97</v>
      </c>
      <c r="O745" s="13">
        <f t="shared" si="55"/>
        <v>17.91</v>
      </c>
      <c r="P745" s="13">
        <f>_xlfn.XLOOKUP(Orders[[#This Row],[Product ID]],products!$A$1:$A$49,products!$G$1:$G$49,,0)</f>
        <v>0.5373</v>
      </c>
      <c r="Q745" s="13">
        <f t="shared" si="56"/>
        <v>1.6118999999999999</v>
      </c>
      <c r="R745" t="str">
        <f t="shared" si="58"/>
        <v>Arabica</v>
      </c>
      <c r="S745" t="str">
        <f t="shared" si="59"/>
        <v>Dark</v>
      </c>
      <c r="T745" t="str">
        <f>_xlfn.XLOOKUP(Orders[[#This Row],[Customer ID]],customers!$A$1:$A$1001,customers!$I$1:$I$1001,,0)</f>
        <v>No</v>
      </c>
    </row>
    <row r="746" spans="1:20" x14ac:dyDescent="0.35">
      <c r="A746" s="2" t="s">
        <v>4694</v>
      </c>
      <c r="B746" s="3">
        <v>43539</v>
      </c>
      <c r="C746" s="2" t="s">
        <v>4695</v>
      </c>
      <c r="D746" t="s">
        <v>6174</v>
      </c>
      <c r="E746" t="str">
        <f t="shared" si="57"/>
        <v>Robusta-Medium-0.2</v>
      </c>
      <c r="F746" s="2">
        <v>6</v>
      </c>
      <c r="G746" s="2" t="str" cm="1">
        <f t="array" ref="G746">_xlfn.XLOOKUP(C746, customers!$A$1:A1745,customers!$B$1:B1745,,0)</f>
        <v>Samuele Klaaassen</v>
      </c>
      <c r="H746" s="2" t="str" cm="1">
        <f t="array" ref="H746">IF(_xlfn.XLOOKUP(C746,customers!$A$1:A1745,customers!$C$1:C1745,,0) = 0,"", _xlfn.XLOOKUP(C746,customers!$A$1:A1745,customers!$C$1:C1745,,0))</f>
        <v/>
      </c>
      <c r="I746" s="2" t="str">
        <f>_xlfn.XLOOKUP(C746,customers!$A$1:$A$1001,customers!$G$1:$G$1001,,0)</f>
        <v>United States</v>
      </c>
      <c r="J746" s="2" t="str">
        <f>_xlfn.XLOOKUP(Orders[[#This Row],[Customer ID]],customers!$A$1:$A$1001,customers!$F$1:$F$1001,,0)</f>
        <v>Detroit</v>
      </c>
      <c r="K746" t="str">
        <f>INDEX(products!$A$1:$G$49,MATCH(orders!$D746,products!$A$1:$A$49,0),MATCH(orders!K$1,products!$A$1:$G$1,0))</f>
        <v>Rob</v>
      </c>
      <c r="L746" t="str">
        <f>INDEX(products!$A$1:$G$49,MATCH(orders!$D746,products!$A$1:$A$49,0),MATCH(orders!L$1,products!$A$1:$G$1,0))</f>
        <v>M</v>
      </c>
      <c r="M746" s="14">
        <f>INDEX(products!$A$1:$G$49,MATCH(orders!$D746,products!$A$1:$A$49,0),MATCH(orders!M$1,products!$A$1:$G$1,0))</f>
        <v>0.2</v>
      </c>
      <c r="N746" s="4">
        <f>INDEX(products!$A$1:$G$49,MATCH(orders!$D746,products!$A$1:$A$49,0),MATCH(orders!N$1,products!$A$1:$G$1,0))</f>
        <v>2.9849999999999999</v>
      </c>
      <c r="O746" s="13">
        <f t="shared" si="55"/>
        <v>17.91</v>
      </c>
      <c r="P746" s="13">
        <f>_xlfn.XLOOKUP(Orders[[#This Row],[Product ID]],products!$A$1:$A$49,products!$G$1:$G$49,,0)</f>
        <v>0.17909999999999998</v>
      </c>
      <c r="Q746" s="13">
        <f t="shared" si="56"/>
        <v>1.0745999999999998</v>
      </c>
      <c r="R746" t="str">
        <f t="shared" si="58"/>
        <v>Robusta</v>
      </c>
      <c r="S746" t="str">
        <f t="shared" si="59"/>
        <v>Medium</v>
      </c>
      <c r="T746" t="str">
        <f>_xlfn.XLOOKUP(Orders[[#This Row],[Customer ID]],customers!$A$1:$A$1001,customers!$I$1:$I$1001,,0)</f>
        <v>Yes</v>
      </c>
    </row>
    <row r="747" spans="1:20" x14ac:dyDescent="0.35">
      <c r="A747" s="2" t="s">
        <v>4699</v>
      </c>
      <c r="B747" s="3">
        <v>44557</v>
      </c>
      <c r="C747" s="2" t="s">
        <v>4700</v>
      </c>
      <c r="D747" t="s">
        <v>6144</v>
      </c>
      <c r="E747" t="str">
        <f t="shared" si="57"/>
        <v>Excelsa-Dark-0.5</v>
      </c>
      <c r="F747" s="2">
        <v>2</v>
      </c>
      <c r="G747" s="2" t="str" cm="1">
        <f t="array" ref="G747">_xlfn.XLOOKUP(C747, customers!$A$1:A1746,customers!$B$1:B1746,,0)</f>
        <v>Jordana Halden</v>
      </c>
      <c r="H747" s="2" t="str" cm="1">
        <f t="array" ref="H747">IF(_xlfn.XLOOKUP(C747,customers!$A$1:A1746,customers!$C$1:C1746,,0) = 0,"", _xlfn.XLOOKUP(C747,customers!$A$1:A1746,customers!$C$1:C1746,,0))</f>
        <v>jhaldenkp@comcast.net</v>
      </c>
      <c r="I747" s="2" t="str">
        <f>_xlfn.XLOOKUP(C747,customers!$A$1:$A$1001,customers!$G$1:$G$1001,,0)</f>
        <v>Ireland</v>
      </c>
      <c r="J747" s="2" t="str">
        <f>_xlfn.XLOOKUP(Orders[[#This Row],[Customer ID]],customers!$A$1:$A$1001,customers!$F$1:$F$1001,,0)</f>
        <v>Clones</v>
      </c>
      <c r="K747" t="str">
        <f>INDEX(products!$A$1:$G$49,MATCH(orders!$D747,products!$A$1:$A$49,0),MATCH(orders!K$1,products!$A$1:$G$1,0))</f>
        <v>Exc</v>
      </c>
      <c r="L747" t="str">
        <f>INDEX(products!$A$1:$G$49,MATCH(orders!$D747,products!$A$1:$A$49,0),MATCH(orders!L$1,products!$A$1:$G$1,0))</f>
        <v>D</v>
      </c>
      <c r="M747" s="14">
        <f>INDEX(products!$A$1:$G$49,MATCH(orders!$D747,products!$A$1:$A$49,0),MATCH(orders!M$1,products!$A$1:$G$1,0))</f>
        <v>0.5</v>
      </c>
      <c r="N747" s="4">
        <f>INDEX(products!$A$1:$G$49,MATCH(orders!$D747,products!$A$1:$A$49,0),MATCH(orders!N$1,products!$A$1:$G$1,0))</f>
        <v>7.29</v>
      </c>
      <c r="O747" s="13">
        <f t="shared" si="55"/>
        <v>14.58</v>
      </c>
      <c r="P747" s="13">
        <f>_xlfn.XLOOKUP(Orders[[#This Row],[Product ID]],products!$A$1:$A$49,products!$G$1:$G$49,,0)</f>
        <v>0.80190000000000006</v>
      </c>
      <c r="Q747" s="13">
        <f t="shared" si="56"/>
        <v>1.6038000000000001</v>
      </c>
      <c r="R747" t="str">
        <f t="shared" si="58"/>
        <v>Execelsa</v>
      </c>
      <c r="S747" t="str">
        <f t="shared" si="59"/>
        <v>Dark</v>
      </c>
      <c r="T747" t="str">
        <f>_xlfn.XLOOKUP(Orders[[#This Row],[Customer ID]],customers!$A$1:$A$1001,customers!$I$1:$I$1001,,0)</f>
        <v>No</v>
      </c>
    </row>
    <row r="748" spans="1:20" x14ac:dyDescent="0.35">
      <c r="A748" s="2" t="s">
        <v>4705</v>
      </c>
      <c r="B748" s="3">
        <v>43741</v>
      </c>
      <c r="C748" s="2" t="s">
        <v>4706</v>
      </c>
      <c r="D748" t="s">
        <v>6155</v>
      </c>
      <c r="E748" t="str">
        <f t="shared" si="57"/>
        <v>Arabica-Medium-1</v>
      </c>
      <c r="F748" s="2">
        <v>3</v>
      </c>
      <c r="G748" s="2" t="str" cm="1">
        <f t="array" ref="G748">_xlfn.XLOOKUP(C748, customers!$A$1:A1747,customers!$B$1:B1747,,0)</f>
        <v>Hussein Olliff</v>
      </c>
      <c r="H748" s="2" t="str" cm="1">
        <f t="array" ref="H748">IF(_xlfn.XLOOKUP(C748,customers!$A$1:A1747,customers!$C$1:C1747,,0) = 0,"", _xlfn.XLOOKUP(C748,customers!$A$1:A1747,customers!$C$1:C1747,,0))</f>
        <v>holliffkq@sciencedirect.com</v>
      </c>
      <c r="I748" s="2" t="str">
        <f>_xlfn.XLOOKUP(C748,customers!$A$1:$A$1001,customers!$G$1:$G$1001,,0)</f>
        <v>Ireland</v>
      </c>
      <c r="J748" s="2" t="str">
        <f>_xlfn.XLOOKUP(Orders[[#This Row],[Customer ID]],customers!$A$1:$A$1001,customers!$F$1:$F$1001,,0)</f>
        <v>Stradbally</v>
      </c>
      <c r="K748" t="str">
        <f>INDEX(products!$A$1:$G$49,MATCH(orders!$D748,products!$A$1:$A$49,0),MATCH(orders!K$1,products!$A$1:$G$1,0))</f>
        <v>Ara</v>
      </c>
      <c r="L748" t="str">
        <f>INDEX(products!$A$1:$G$49,MATCH(orders!$D748,products!$A$1:$A$49,0),MATCH(orders!L$1,products!$A$1:$G$1,0))</f>
        <v>M</v>
      </c>
      <c r="M748" s="14">
        <f>INDEX(products!$A$1:$G$49,MATCH(orders!$D748,products!$A$1:$A$49,0),MATCH(orders!M$1,products!$A$1:$G$1,0))</f>
        <v>1</v>
      </c>
      <c r="N748" s="4">
        <f>INDEX(products!$A$1:$G$49,MATCH(orders!$D748,products!$A$1:$A$49,0),MATCH(orders!N$1,products!$A$1:$G$1,0))</f>
        <v>11.25</v>
      </c>
      <c r="O748" s="13">
        <f t="shared" si="55"/>
        <v>33.75</v>
      </c>
      <c r="P748" s="13">
        <f>_xlfn.XLOOKUP(Orders[[#This Row],[Product ID]],products!$A$1:$A$49,products!$G$1:$G$49,,0)</f>
        <v>1.0125</v>
      </c>
      <c r="Q748" s="13">
        <f t="shared" si="56"/>
        <v>3.0374999999999996</v>
      </c>
      <c r="R748" t="str">
        <f t="shared" si="58"/>
        <v>Arabica</v>
      </c>
      <c r="S748" t="str">
        <f t="shared" si="59"/>
        <v>Medium</v>
      </c>
      <c r="T748" t="str">
        <f>_xlfn.XLOOKUP(Orders[[#This Row],[Customer ID]],customers!$A$1:$A$1001,customers!$I$1:$I$1001,,0)</f>
        <v>No</v>
      </c>
    </row>
    <row r="749" spans="1:20" x14ac:dyDescent="0.35">
      <c r="A749" s="2" t="s">
        <v>4711</v>
      </c>
      <c r="B749" s="3">
        <v>43501</v>
      </c>
      <c r="C749" s="2" t="s">
        <v>4712</v>
      </c>
      <c r="D749" t="s">
        <v>6160</v>
      </c>
      <c r="E749" t="str">
        <f t="shared" si="57"/>
        <v>Liberica-Medium-0.5</v>
      </c>
      <c r="F749" s="2">
        <v>4</v>
      </c>
      <c r="G749" s="2" t="str" cm="1">
        <f t="array" ref="G749">_xlfn.XLOOKUP(C749, customers!$A$1:A1748,customers!$B$1:B1748,,0)</f>
        <v>Teddi Quadri</v>
      </c>
      <c r="H749" s="2" t="str" cm="1">
        <f t="array" ref="H749">IF(_xlfn.XLOOKUP(C749,customers!$A$1:A1748,customers!$C$1:C1748,,0) = 0,"", _xlfn.XLOOKUP(C749,customers!$A$1:A1748,customers!$C$1:C1748,,0))</f>
        <v>tquadrikr@opensource.org</v>
      </c>
      <c r="I749" s="2" t="str">
        <f>_xlfn.XLOOKUP(C749,customers!$A$1:$A$1001,customers!$G$1:$G$1001,,0)</f>
        <v>Ireland</v>
      </c>
      <c r="J749" s="2" t="str">
        <f>_xlfn.XLOOKUP(Orders[[#This Row],[Customer ID]],customers!$A$1:$A$1001,customers!$F$1:$F$1001,,0)</f>
        <v>Ballina</v>
      </c>
      <c r="K749" t="str">
        <f>INDEX(products!$A$1:$G$49,MATCH(orders!$D749,products!$A$1:$A$49,0),MATCH(orders!K$1,products!$A$1:$G$1,0))</f>
        <v>Lib</v>
      </c>
      <c r="L749" t="str">
        <f>INDEX(products!$A$1:$G$49,MATCH(orders!$D749,products!$A$1:$A$49,0),MATCH(orders!L$1,products!$A$1:$G$1,0))</f>
        <v>M</v>
      </c>
      <c r="M749" s="14">
        <f>INDEX(products!$A$1:$G$49,MATCH(orders!$D749,products!$A$1:$A$49,0),MATCH(orders!M$1,products!$A$1:$G$1,0))</f>
        <v>0.5</v>
      </c>
      <c r="N749" s="4">
        <f>INDEX(products!$A$1:$G$49,MATCH(orders!$D749,products!$A$1:$A$49,0),MATCH(orders!N$1,products!$A$1:$G$1,0))</f>
        <v>8.73</v>
      </c>
      <c r="O749" s="13">
        <f t="shared" si="55"/>
        <v>34.92</v>
      </c>
      <c r="P749" s="13">
        <f>_xlfn.XLOOKUP(Orders[[#This Row],[Product ID]],products!$A$1:$A$49,products!$G$1:$G$49,,0)</f>
        <v>1.1349</v>
      </c>
      <c r="Q749" s="13">
        <f t="shared" si="56"/>
        <v>4.5396000000000001</v>
      </c>
      <c r="R749" t="str">
        <f t="shared" si="58"/>
        <v>Liberica</v>
      </c>
      <c r="S749" t="str">
        <f t="shared" si="59"/>
        <v>Medium</v>
      </c>
      <c r="T749" t="str">
        <f>_xlfn.XLOOKUP(Orders[[#This Row],[Customer ID]],customers!$A$1:$A$1001,customers!$I$1:$I$1001,,0)</f>
        <v>Yes</v>
      </c>
    </row>
    <row r="750" spans="1:20" x14ac:dyDescent="0.35">
      <c r="A750" s="2" t="s">
        <v>4717</v>
      </c>
      <c r="B750" s="3">
        <v>44074</v>
      </c>
      <c r="C750" s="2" t="s">
        <v>4718</v>
      </c>
      <c r="D750" t="s">
        <v>6144</v>
      </c>
      <c r="E750" t="str">
        <f t="shared" si="57"/>
        <v>Excelsa-Dark-0.5</v>
      </c>
      <c r="F750" s="2">
        <v>2</v>
      </c>
      <c r="G750" s="2" t="str" cm="1">
        <f t="array" ref="G750">_xlfn.XLOOKUP(C750, customers!$A$1:A1749,customers!$B$1:B1749,,0)</f>
        <v>Felita Eshmade</v>
      </c>
      <c r="H750" s="2" t="str" cm="1">
        <f t="array" ref="H750">IF(_xlfn.XLOOKUP(C750,customers!$A$1:A1749,customers!$C$1:C1749,,0) = 0,"", _xlfn.XLOOKUP(C750,customers!$A$1:A1749,customers!$C$1:C1749,,0))</f>
        <v>feshmadeks@umn.edu</v>
      </c>
      <c r="I750" s="2" t="str">
        <f>_xlfn.XLOOKUP(C750,customers!$A$1:$A$1001,customers!$G$1:$G$1001,,0)</f>
        <v>United States</v>
      </c>
      <c r="J750" s="2" t="str">
        <f>_xlfn.XLOOKUP(Orders[[#This Row],[Customer ID]],customers!$A$1:$A$1001,customers!$F$1:$F$1001,,0)</f>
        <v>Richmond</v>
      </c>
      <c r="K750" t="str">
        <f>INDEX(products!$A$1:$G$49,MATCH(orders!$D750,products!$A$1:$A$49,0),MATCH(orders!K$1,products!$A$1:$G$1,0))</f>
        <v>Exc</v>
      </c>
      <c r="L750" t="str">
        <f>INDEX(products!$A$1:$G$49,MATCH(orders!$D750,products!$A$1:$A$49,0),MATCH(orders!L$1,products!$A$1:$G$1,0))</f>
        <v>D</v>
      </c>
      <c r="M750" s="14">
        <f>INDEX(products!$A$1:$G$49,MATCH(orders!$D750,products!$A$1:$A$49,0),MATCH(orders!M$1,products!$A$1:$G$1,0))</f>
        <v>0.5</v>
      </c>
      <c r="N750" s="4">
        <f>INDEX(products!$A$1:$G$49,MATCH(orders!$D750,products!$A$1:$A$49,0),MATCH(orders!N$1,products!$A$1:$G$1,0))</f>
        <v>7.29</v>
      </c>
      <c r="O750" s="13">
        <f t="shared" si="55"/>
        <v>14.58</v>
      </c>
      <c r="P750" s="13">
        <f>_xlfn.XLOOKUP(Orders[[#This Row],[Product ID]],products!$A$1:$A$49,products!$G$1:$G$49,,0)</f>
        <v>0.80190000000000006</v>
      </c>
      <c r="Q750" s="13">
        <f t="shared" si="56"/>
        <v>1.6038000000000001</v>
      </c>
      <c r="R750" t="str">
        <f t="shared" si="58"/>
        <v>Execelsa</v>
      </c>
      <c r="S750" t="str">
        <f t="shared" si="59"/>
        <v>Dark</v>
      </c>
      <c r="T750" t="str">
        <f>_xlfn.XLOOKUP(Orders[[#This Row],[Customer ID]],customers!$A$1:$A$1001,customers!$I$1:$I$1001,,0)</f>
        <v>No</v>
      </c>
    </row>
    <row r="751" spans="1:20" x14ac:dyDescent="0.35">
      <c r="A751" s="2" t="s">
        <v>4723</v>
      </c>
      <c r="B751" s="3">
        <v>44209</v>
      </c>
      <c r="C751" s="2" t="s">
        <v>4724</v>
      </c>
      <c r="D751" t="s">
        <v>6163</v>
      </c>
      <c r="E751" t="str">
        <f t="shared" si="57"/>
        <v>Robusta-Dark-0.2</v>
      </c>
      <c r="F751" s="2">
        <v>2</v>
      </c>
      <c r="G751" s="2" t="str" cm="1">
        <f t="array" ref="G751">_xlfn.XLOOKUP(C751, customers!$A$1:A1750,customers!$B$1:B1750,,0)</f>
        <v>Melodie OIlier</v>
      </c>
      <c r="H751" s="2" t="str" cm="1">
        <f t="array" ref="H751">IF(_xlfn.XLOOKUP(C751,customers!$A$1:A1750,customers!$C$1:C1750,,0) = 0,"", _xlfn.XLOOKUP(C751,customers!$A$1:A1750,customers!$C$1:C1750,,0))</f>
        <v>moilierkt@paginegialle.it</v>
      </c>
      <c r="I751" s="2" t="str">
        <f>_xlfn.XLOOKUP(C751,customers!$A$1:$A$1001,customers!$G$1:$G$1001,,0)</f>
        <v>Ireland</v>
      </c>
      <c r="J751" s="2" t="str">
        <f>_xlfn.XLOOKUP(Orders[[#This Row],[Customer ID]],customers!$A$1:$A$1001,customers!$F$1:$F$1001,,0)</f>
        <v>Glasnevin</v>
      </c>
      <c r="K751" t="str">
        <f>INDEX(products!$A$1:$G$49,MATCH(orders!$D751,products!$A$1:$A$49,0),MATCH(orders!K$1,products!$A$1:$G$1,0))</f>
        <v>Rob</v>
      </c>
      <c r="L751" t="str">
        <f>INDEX(products!$A$1:$G$49,MATCH(orders!$D751,products!$A$1:$A$49,0),MATCH(orders!L$1,products!$A$1:$G$1,0))</f>
        <v>D</v>
      </c>
      <c r="M751" s="14">
        <f>INDEX(products!$A$1:$G$49,MATCH(orders!$D751,products!$A$1:$A$49,0),MATCH(orders!M$1,products!$A$1:$G$1,0))</f>
        <v>0.2</v>
      </c>
      <c r="N751" s="4">
        <f>INDEX(products!$A$1:$G$49,MATCH(orders!$D751,products!$A$1:$A$49,0),MATCH(orders!N$1,products!$A$1:$G$1,0))</f>
        <v>2.6849999999999996</v>
      </c>
      <c r="O751" s="13">
        <f t="shared" si="55"/>
        <v>5.3699999999999992</v>
      </c>
      <c r="P751" s="13">
        <f>_xlfn.XLOOKUP(Orders[[#This Row],[Product ID]],products!$A$1:$A$49,products!$G$1:$G$49,,0)</f>
        <v>0.16109999999999997</v>
      </c>
      <c r="Q751" s="13">
        <f t="shared" si="56"/>
        <v>0.32219999999999993</v>
      </c>
      <c r="R751" t="str">
        <f t="shared" si="58"/>
        <v>Robusta</v>
      </c>
      <c r="S751" t="str">
        <f t="shared" si="59"/>
        <v>Dark</v>
      </c>
      <c r="T751" t="str">
        <f>_xlfn.XLOOKUP(Orders[[#This Row],[Customer ID]],customers!$A$1:$A$1001,customers!$I$1:$I$1001,,0)</f>
        <v>Yes</v>
      </c>
    </row>
    <row r="752" spans="1:20" x14ac:dyDescent="0.35">
      <c r="A752" s="2" t="s">
        <v>4730</v>
      </c>
      <c r="B752" s="3">
        <v>44277</v>
      </c>
      <c r="C752" s="2" t="s">
        <v>4731</v>
      </c>
      <c r="D752" t="s">
        <v>6146</v>
      </c>
      <c r="E752" t="str">
        <f t="shared" si="57"/>
        <v>Robusta-Medium-0.5</v>
      </c>
      <c r="F752" s="2">
        <v>1</v>
      </c>
      <c r="G752" s="2" t="str" cm="1">
        <f t="array" ref="G752">_xlfn.XLOOKUP(C752, customers!$A$1:A1751,customers!$B$1:B1751,,0)</f>
        <v>Hazel Iacopini</v>
      </c>
      <c r="H752" s="2" t="str" cm="1">
        <f t="array" ref="H752">IF(_xlfn.XLOOKUP(C752,customers!$A$1:A1751,customers!$C$1:C1751,,0) = 0,"", _xlfn.XLOOKUP(C752,customers!$A$1:A1751,customers!$C$1:C1751,,0))</f>
        <v/>
      </c>
      <c r="I752" s="2" t="str">
        <f>_xlfn.XLOOKUP(C752,customers!$A$1:$A$1001,customers!$G$1:$G$1001,,0)</f>
        <v>United States</v>
      </c>
      <c r="J752" s="2" t="str">
        <f>_xlfn.XLOOKUP(Orders[[#This Row],[Customer ID]],customers!$A$1:$A$1001,customers!$F$1:$F$1001,,0)</f>
        <v>Fort Worth</v>
      </c>
      <c r="K752" t="str">
        <f>INDEX(products!$A$1:$G$49,MATCH(orders!$D752,products!$A$1:$A$49,0),MATCH(orders!K$1,products!$A$1:$G$1,0))</f>
        <v>Rob</v>
      </c>
      <c r="L752" t="str">
        <f>INDEX(products!$A$1:$G$49,MATCH(orders!$D752,products!$A$1:$A$49,0),MATCH(orders!L$1,products!$A$1:$G$1,0))</f>
        <v>M</v>
      </c>
      <c r="M752" s="14">
        <f>INDEX(products!$A$1:$G$49,MATCH(orders!$D752,products!$A$1:$A$49,0),MATCH(orders!M$1,products!$A$1:$G$1,0))</f>
        <v>0.5</v>
      </c>
      <c r="N752" s="4">
        <f>INDEX(products!$A$1:$G$49,MATCH(orders!$D752,products!$A$1:$A$49,0),MATCH(orders!N$1,products!$A$1:$G$1,0))</f>
        <v>5.97</v>
      </c>
      <c r="O752" s="13">
        <f t="shared" si="55"/>
        <v>5.97</v>
      </c>
      <c r="P752" s="13">
        <f>_xlfn.XLOOKUP(Orders[[#This Row],[Product ID]],products!$A$1:$A$49,products!$G$1:$G$49,,0)</f>
        <v>0.35819999999999996</v>
      </c>
      <c r="Q752" s="13">
        <f t="shared" si="56"/>
        <v>0.35819999999999996</v>
      </c>
      <c r="R752" t="str">
        <f t="shared" si="58"/>
        <v>Robusta</v>
      </c>
      <c r="S752" t="str">
        <f t="shared" si="59"/>
        <v>Medium</v>
      </c>
      <c r="T752" t="str">
        <f>_xlfn.XLOOKUP(Orders[[#This Row],[Customer ID]],customers!$A$1:$A$1001,customers!$I$1:$I$1001,,0)</f>
        <v>Yes</v>
      </c>
    </row>
    <row r="753" spans="1:20" x14ac:dyDescent="0.35">
      <c r="A753" s="2" t="s">
        <v>4735</v>
      </c>
      <c r="B753" s="3">
        <v>43847</v>
      </c>
      <c r="C753" s="2" t="s">
        <v>4736</v>
      </c>
      <c r="D753" t="s">
        <v>6161</v>
      </c>
      <c r="E753" t="str">
        <f t="shared" si="57"/>
        <v>Liberica-Light-0.5</v>
      </c>
      <c r="F753" s="2">
        <v>2</v>
      </c>
      <c r="G753" s="2" t="str" cm="1">
        <f t="array" ref="G753">_xlfn.XLOOKUP(C753, customers!$A$1:A1752,customers!$B$1:B1752,,0)</f>
        <v>Vinny Shoebotham</v>
      </c>
      <c r="H753" s="2" t="str" cm="1">
        <f t="array" ref="H753">IF(_xlfn.XLOOKUP(C753,customers!$A$1:A1752,customers!$C$1:C1752,,0) = 0,"", _xlfn.XLOOKUP(C753,customers!$A$1:A1752,customers!$C$1:C1752,,0))</f>
        <v>vshoebothamkv@redcross.org</v>
      </c>
      <c r="I753" s="2" t="str">
        <f>_xlfn.XLOOKUP(C753,customers!$A$1:$A$1001,customers!$G$1:$G$1001,,0)</f>
        <v>United States</v>
      </c>
      <c r="J753" s="2" t="str">
        <f>_xlfn.XLOOKUP(Orders[[#This Row],[Customer ID]],customers!$A$1:$A$1001,customers!$F$1:$F$1001,,0)</f>
        <v>Brooklyn</v>
      </c>
      <c r="K753" t="str">
        <f>INDEX(products!$A$1:$G$49,MATCH(orders!$D753,products!$A$1:$A$49,0),MATCH(orders!K$1,products!$A$1:$G$1,0))</f>
        <v>Lib</v>
      </c>
      <c r="L753" t="str">
        <f>INDEX(products!$A$1:$G$49,MATCH(orders!$D753,products!$A$1:$A$49,0),MATCH(orders!L$1,products!$A$1:$G$1,0))</f>
        <v>L</v>
      </c>
      <c r="M753" s="14">
        <f>INDEX(products!$A$1:$G$49,MATCH(orders!$D753,products!$A$1:$A$49,0),MATCH(orders!M$1,products!$A$1:$G$1,0))</f>
        <v>0.5</v>
      </c>
      <c r="N753" s="4">
        <f>INDEX(products!$A$1:$G$49,MATCH(orders!$D753,products!$A$1:$A$49,0),MATCH(orders!N$1,products!$A$1:$G$1,0))</f>
        <v>9.51</v>
      </c>
      <c r="O753" s="13">
        <f t="shared" si="55"/>
        <v>19.02</v>
      </c>
      <c r="P753" s="13">
        <f>_xlfn.XLOOKUP(Orders[[#This Row],[Product ID]],products!$A$1:$A$49,products!$G$1:$G$49,,0)</f>
        <v>1.2363</v>
      </c>
      <c r="Q753" s="13">
        <f t="shared" si="56"/>
        <v>2.4725999999999999</v>
      </c>
      <c r="R753" t="str">
        <f t="shared" si="58"/>
        <v>Liberica</v>
      </c>
      <c r="S753" t="str">
        <f t="shared" si="59"/>
        <v>Light</v>
      </c>
      <c r="T753" t="str">
        <f>_xlfn.XLOOKUP(Orders[[#This Row],[Customer ID]],customers!$A$1:$A$1001,customers!$I$1:$I$1001,,0)</f>
        <v>No</v>
      </c>
    </row>
    <row r="754" spans="1:20" x14ac:dyDescent="0.35">
      <c r="A754" s="2" t="s">
        <v>4741</v>
      </c>
      <c r="B754" s="3">
        <v>43648</v>
      </c>
      <c r="C754" s="2" t="s">
        <v>4742</v>
      </c>
      <c r="D754" t="s">
        <v>6141</v>
      </c>
      <c r="E754" t="str">
        <f t="shared" si="57"/>
        <v>Excelsa-Medium-1</v>
      </c>
      <c r="F754" s="2">
        <v>2</v>
      </c>
      <c r="G754" s="2" t="str" cm="1">
        <f t="array" ref="G754">_xlfn.XLOOKUP(C754, customers!$A$1:A1753,customers!$B$1:B1753,,0)</f>
        <v>Bran Sterke</v>
      </c>
      <c r="H754" s="2" t="str" cm="1">
        <f t="array" ref="H754">IF(_xlfn.XLOOKUP(C754,customers!$A$1:A1753,customers!$C$1:C1753,,0) = 0,"", _xlfn.XLOOKUP(C754,customers!$A$1:A1753,customers!$C$1:C1753,,0))</f>
        <v>bsterkekw@biblegateway.com</v>
      </c>
      <c r="I754" s="2" t="str">
        <f>_xlfn.XLOOKUP(C754,customers!$A$1:$A$1001,customers!$G$1:$G$1001,,0)</f>
        <v>United States</v>
      </c>
      <c r="J754" s="2" t="str">
        <f>_xlfn.XLOOKUP(Orders[[#This Row],[Customer ID]],customers!$A$1:$A$1001,customers!$F$1:$F$1001,,0)</f>
        <v>Fort Worth</v>
      </c>
      <c r="K754" t="str">
        <f>INDEX(products!$A$1:$G$49,MATCH(orders!$D754,products!$A$1:$A$49,0),MATCH(orders!K$1,products!$A$1:$G$1,0))</f>
        <v>Exc</v>
      </c>
      <c r="L754" t="str">
        <f>INDEX(products!$A$1:$G$49,MATCH(orders!$D754,products!$A$1:$A$49,0),MATCH(orders!L$1,products!$A$1:$G$1,0))</f>
        <v>M</v>
      </c>
      <c r="M754" s="14">
        <f>INDEX(products!$A$1:$G$49,MATCH(orders!$D754,products!$A$1:$A$49,0),MATCH(orders!M$1,products!$A$1:$G$1,0))</f>
        <v>1</v>
      </c>
      <c r="N754" s="4">
        <f>INDEX(products!$A$1:$G$49,MATCH(orders!$D754,products!$A$1:$A$49,0),MATCH(orders!N$1,products!$A$1:$G$1,0))</f>
        <v>13.75</v>
      </c>
      <c r="O754" s="13">
        <f t="shared" si="55"/>
        <v>27.5</v>
      </c>
      <c r="P754" s="13">
        <f>_xlfn.XLOOKUP(Orders[[#This Row],[Product ID]],products!$A$1:$A$49,products!$G$1:$G$49,,0)</f>
        <v>1.5125</v>
      </c>
      <c r="Q754" s="13">
        <f t="shared" si="56"/>
        <v>3.0249999999999999</v>
      </c>
      <c r="R754" t="str">
        <f t="shared" si="58"/>
        <v>Execelsa</v>
      </c>
      <c r="S754" t="str">
        <f t="shared" si="59"/>
        <v>Medium</v>
      </c>
      <c r="T754" t="str">
        <f>_xlfn.XLOOKUP(Orders[[#This Row],[Customer ID]],customers!$A$1:$A$1001,customers!$I$1:$I$1001,,0)</f>
        <v>Yes</v>
      </c>
    </row>
    <row r="755" spans="1:20" x14ac:dyDescent="0.35">
      <c r="A755" s="2" t="s">
        <v>4747</v>
      </c>
      <c r="B755" s="3">
        <v>44704</v>
      </c>
      <c r="C755" s="2" t="s">
        <v>4748</v>
      </c>
      <c r="D755" t="s">
        <v>6158</v>
      </c>
      <c r="E755" t="str">
        <f t="shared" si="57"/>
        <v>Arabica-Dark-0.5</v>
      </c>
      <c r="F755" s="2">
        <v>5</v>
      </c>
      <c r="G755" s="2" t="str" cm="1">
        <f t="array" ref="G755">_xlfn.XLOOKUP(C755, customers!$A$1:A1754,customers!$B$1:B1754,,0)</f>
        <v>Simone Capon</v>
      </c>
      <c r="H755" s="2" t="str" cm="1">
        <f t="array" ref="H755">IF(_xlfn.XLOOKUP(C755,customers!$A$1:A1754,customers!$C$1:C1754,,0) = 0,"", _xlfn.XLOOKUP(C755,customers!$A$1:A1754,customers!$C$1:C1754,,0))</f>
        <v>scaponkx@craigslist.org</v>
      </c>
      <c r="I755" s="2" t="str">
        <f>_xlfn.XLOOKUP(C755,customers!$A$1:$A$1001,customers!$G$1:$G$1001,,0)</f>
        <v>United States</v>
      </c>
      <c r="J755" s="2" t="str">
        <f>_xlfn.XLOOKUP(Orders[[#This Row],[Customer ID]],customers!$A$1:$A$1001,customers!$F$1:$F$1001,,0)</f>
        <v>Phoenix</v>
      </c>
      <c r="K755" t="str">
        <f>INDEX(products!$A$1:$G$49,MATCH(orders!$D755,products!$A$1:$A$49,0),MATCH(orders!K$1,products!$A$1:$G$1,0))</f>
        <v>Ara</v>
      </c>
      <c r="L755" t="str">
        <f>INDEX(products!$A$1:$G$49,MATCH(orders!$D755,products!$A$1:$A$49,0),MATCH(orders!L$1,products!$A$1:$G$1,0))</f>
        <v>D</v>
      </c>
      <c r="M755" s="14">
        <f>INDEX(products!$A$1:$G$49,MATCH(orders!$D755,products!$A$1:$A$49,0),MATCH(orders!M$1,products!$A$1:$G$1,0))</f>
        <v>0.5</v>
      </c>
      <c r="N755" s="4">
        <f>INDEX(products!$A$1:$G$49,MATCH(orders!$D755,products!$A$1:$A$49,0),MATCH(orders!N$1,products!$A$1:$G$1,0))</f>
        <v>5.97</v>
      </c>
      <c r="O755" s="13">
        <f t="shared" si="55"/>
        <v>29.849999999999998</v>
      </c>
      <c r="P755" s="13">
        <f>_xlfn.XLOOKUP(Orders[[#This Row],[Product ID]],products!$A$1:$A$49,products!$G$1:$G$49,,0)</f>
        <v>0.5373</v>
      </c>
      <c r="Q755" s="13">
        <f t="shared" si="56"/>
        <v>2.6865000000000001</v>
      </c>
      <c r="R755" t="str">
        <f t="shared" si="58"/>
        <v>Arabica</v>
      </c>
      <c r="S755" t="str">
        <f t="shared" si="59"/>
        <v>Dark</v>
      </c>
      <c r="T755" t="str">
        <f>_xlfn.XLOOKUP(Orders[[#This Row],[Customer ID]],customers!$A$1:$A$1001,customers!$I$1:$I$1001,,0)</f>
        <v>No</v>
      </c>
    </row>
    <row r="756" spans="1:20" x14ac:dyDescent="0.35">
      <c r="A756" s="2" t="s">
        <v>4753</v>
      </c>
      <c r="B756" s="3">
        <v>44726</v>
      </c>
      <c r="C756" s="2" t="s">
        <v>4434</v>
      </c>
      <c r="D756" t="s">
        <v>6154</v>
      </c>
      <c r="E756" t="str">
        <f t="shared" si="57"/>
        <v>Arabica-Dark-0.2</v>
      </c>
      <c r="F756" s="2">
        <v>6</v>
      </c>
      <c r="G756" s="2" t="str" cm="1">
        <f t="array" ref="G756">_xlfn.XLOOKUP(C756, customers!$A$1:A1755,customers!$B$1:B1755,,0)</f>
        <v>Jimmy Dymoke</v>
      </c>
      <c r="H756" s="2" t="str" cm="1">
        <f t="array" ref="H756">IF(_xlfn.XLOOKUP(C756,customers!$A$1:A1755,customers!$C$1:C1755,,0) = 0,"", _xlfn.XLOOKUP(C756,customers!$A$1:A1755,customers!$C$1:C1755,,0))</f>
        <v>jdymokeje@prnewswire.com</v>
      </c>
      <c r="I756" s="2" t="str">
        <f>_xlfn.XLOOKUP(C756,customers!$A$1:$A$1001,customers!$G$1:$G$1001,,0)</f>
        <v>Ireland</v>
      </c>
      <c r="J756" s="2" t="str">
        <f>_xlfn.XLOOKUP(Orders[[#This Row],[Customer ID]],customers!$A$1:$A$1001,customers!$F$1:$F$1001,,0)</f>
        <v>Beaumont</v>
      </c>
      <c r="K756" t="str">
        <f>INDEX(products!$A$1:$G$49,MATCH(orders!$D756,products!$A$1:$A$49,0),MATCH(orders!K$1,products!$A$1:$G$1,0))</f>
        <v>Ara</v>
      </c>
      <c r="L756" t="str">
        <f>INDEX(products!$A$1:$G$49,MATCH(orders!$D756,products!$A$1:$A$49,0),MATCH(orders!L$1,products!$A$1:$G$1,0))</f>
        <v>D</v>
      </c>
      <c r="M756" s="14">
        <f>INDEX(products!$A$1:$G$49,MATCH(orders!$D756,products!$A$1:$A$49,0),MATCH(orders!M$1,products!$A$1:$G$1,0))</f>
        <v>0.2</v>
      </c>
      <c r="N756" s="4">
        <f>INDEX(products!$A$1:$G$49,MATCH(orders!$D756,products!$A$1:$A$49,0),MATCH(orders!N$1,products!$A$1:$G$1,0))</f>
        <v>2.9849999999999999</v>
      </c>
      <c r="O756" s="13">
        <f t="shared" si="55"/>
        <v>17.91</v>
      </c>
      <c r="P756" s="13">
        <f>_xlfn.XLOOKUP(Orders[[#This Row],[Product ID]],products!$A$1:$A$49,products!$G$1:$G$49,,0)</f>
        <v>0.26865</v>
      </c>
      <c r="Q756" s="13">
        <f t="shared" si="56"/>
        <v>1.6118999999999999</v>
      </c>
      <c r="R756" t="str">
        <f t="shared" si="58"/>
        <v>Arabica</v>
      </c>
      <c r="S756" t="str">
        <f t="shared" si="59"/>
        <v>Dark</v>
      </c>
      <c r="T756" t="str">
        <f>_xlfn.XLOOKUP(Orders[[#This Row],[Customer ID]],customers!$A$1:$A$1001,customers!$I$1:$I$1001,,0)</f>
        <v>No</v>
      </c>
    </row>
    <row r="757" spans="1:20" x14ac:dyDescent="0.35">
      <c r="A757" s="2" t="s">
        <v>4758</v>
      </c>
      <c r="B757" s="3">
        <v>44397</v>
      </c>
      <c r="C757" s="2" t="s">
        <v>4759</v>
      </c>
      <c r="D757" t="s">
        <v>6145</v>
      </c>
      <c r="E757" t="str">
        <f t="shared" si="57"/>
        <v>Liberica-Light-0.2</v>
      </c>
      <c r="F757" s="2">
        <v>6</v>
      </c>
      <c r="G757" s="2" t="str" cm="1">
        <f t="array" ref="G757">_xlfn.XLOOKUP(C757, customers!$A$1:A1756,customers!$B$1:B1756,,0)</f>
        <v>Foster Constance</v>
      </c>
      <c r="H757" s="2" t="str" cm="1">
        <f t="array" ref="H757">IF(_xlfn.XLOOKUP(C757,customers!$A$1:A1756,customers!$C$1:C1756,,0) = 0,"", _xlfn.XLOOKUP(C757,customers!$A$1:A1756,customers!$C$1:C1756,,0))</f>
        <v>fconstancekz@ifeng.com</v>
      </c>
      <c r="I757" s="2" t="str">
        <f>_xlfn.XLOOKUP(C757,customers!$A$1:$A$1001,customers!$G$1:$G$1001,,0)</f>
        <v>United States</v>
      </c>
      <c r="J757" s="2" t="str">
        <f>_xlfn.XLOOKUP(Orders[[#This Row],[Customer ID]],customers!$A$1:$A$1001,customers!$F$1:$F$1001,,0)</f>
        <v>Dallas</v>
      </c>
      <c r="K757" t="str">
        <f>INDEX(products!$A$1:$G$49,MATCH(orders!$D757,products!$A$1:$A$49,0),MATCH(orders!K$1,products!$A$1:$G$1,0))</f>
        <v>Lib</v>
      </c>
      <c r="L757" t="str">
        <f>INDEX(products!$A$1:$G$49,MATCH(orders!$D757,products!$A$1:$A$49,0),MATCH(orders!L$1,products!$A$1:$G$1,0))</f>
        <v>L</v>
      </c>
      <c r="M757" s="14">
        <f>INDEX(products!$A$1:$G$49,MATCH(orders!$D757,products!$A$1:$A$49,0),MATCH(orders!M$1,products!$A$1:$G$1,0))</f>
        <v>0.2</v>
      </c>
      <c r="N757" s="4">
        <f>INDEX(products!$A$1:$G$49,MATCH(orders!$D757,products!$A$1:$A$49,0),MATCH(orders!N$1,products!$A$1:$G$1,0))</f>
        <v>4.7549999999999999</v>
      </c>
      <c r="O757" s="13">
        <f t="shared" si="55"/>
        <v>28.53</v>
      </c>
      <c r="P757" s="13">
        <f>_xlfn.XLOOKUP(Orders[[#This Row],[Product ID]],products!$A$1:$A$49,products!$G$1:$G$49,,0)</f>
        <v>0.61814999999999998</v>
      </c>
      <c r="Q757" s="13">
        <f t="shared" si="56"/>
        <v>3.7088999999999999</v>
      </c>
      <c r="R757" t="str">
        <f t="shared" si="58"/>
        <v>Liberica</v>
      </c>
      <c r="S757" t="str">
        <f t="shared" si="59"/>
        <v>Light</v>
      </c>
      <c r="T757" t="str">
        <f>_xlfn.XLOOKUP(Orders[[#This Row],[Customer ID]],customers!$A$1:$A$1001,customers!$I$1:$I$1001,,0)</f>
        <v>No</v>
      </c>
    </row>
    <row r="758" spans="1:20" x14ac:dyDescent="0.35">
      <c r="A758" s="2" t="s">
        <v>4764</v>
      </c>
      <c r="B758" s="3">
        <v>44715</v>
      </c>
      <c r="C758" s="2" t="s">
        <v>4765</v>
      </c>
      <c r="D758" t="s">
        <v>6177</v>
      </c>
      <c r="E758" t="str">
        <f t="shared" si="57"/>
        <v>Robusta-Dark-1</v>
      </c>
      <c r="F758" s="2">
        <v>4</v>
      </c>
      <c r="G758" s="2" t="str" cm="1">
        <f t="array" ref="G758">_xlfn.XLOOKUP(C758, customers!$A$1:A1757,customers!$B$1:B1757,,0)</f>
        <v>Fernando Sulman</v>
      </c>
      <c r="H758" s="2" t="str" cm="1">
        <f t="array" ref="H758">IF(_xlfn.XLOOKUP(C758,customers!$A$1:A1757,customers!$C$1:C1757,,0) = 0,"", _xlfn.XLOOKUP(C758,customers!$A$1:A1757,customers!$C$1:C1757,,0))</f>
        <v>fsulmanl0@washington.edu</v>
      </c>
      <c r="I758" s="2" t="str">
        <f>_xlfn.XLOOKUP(C758,customers!$A$1:$A$1001,customers!$G$1:$G$1001,,0)</f>
        <v>United States</v>
      </c>
      <c r="J758" s="2" t="str">
        <f>_xlfn.XLOOKUP(Orders[[#This Row],[Customer ID]],customers!$A$1:$A$1001,customers!$F$1:$F$1001,,0)</f>
        <v>Asheville</v>
      </c>
      <c r="K758" t="str">
        <f>INDEX(products!$A$1:$G$49,MATCH(orders!$D758,products!$A$1:$A$49,0),MATCH(orders!K$1,products!$A$1:$G$1,0))</f>
        <v>Rob</v>
      </c>
      <c r="L758" t="str">
        <f>INDEX(products!$A$1:$G$49,MATCH(orders!$D758,products!$A$1:$A$49,0),MATCH(orders!L$1,products!$A$1:$G$1,0))</f>
        <v>D</v>
      </c>
      <c r="M758" s="14">
        <f>INDEX(products!$A$1:$G$49,MATCH(orders!$D758,products!$A$1:$A$49,0),MATCH(orders!M$1,products!$A$1:$G$1,0))</f>
        <v>1</v>
      </c>
      <c r="N758" s="4">
        <f>INDEX(products!$A$1:$G$49,MATCH(orders!$D758,products!$A$1:$A$49,0),MATCH(orders!N$1,products!$A$1:$G$1,0))</f>
        <v>8.9499999999999993</v>
      </c>
      <c r="O758" s="13">
        <f t="shared" si="55"/>
        <v>35.799999999999997</v>
      </c>
      <c r="P758" s="13">
        <f>_xlfn.XLOOKUP(Orders[[#This Row],[Product ID]],products!$A$1:$A$49,products!$G$1:$G$49,,0)</f>
        <v>0.53699999999999992</v>
      </c>
      <c r="Q758" s="13">
        <f t="shared" si="56"/>
        <v>2.1479999999999997</v>
      </c>
      <c r="R758" t="str">
        <f t="shared" si="58"/>
        <v>Robusta</v>
      </c>
      <c r="S758" t="str">
        <f t="shared" si="59"/>
        <v>Dark</v>
      </c>
      <c r="T758" t="str">
        <f>_xlfn.XLOOKUP(Orders[[#This Row],[Customer ID]],customers!$A$1:$A$1001,customers!$I$1:$I$1001,,0)</f>
        <v>Yes</v>
      </c>
    </row>
    <row r="759" spans="1:20" x14ac:dyDescent="0.35">
      <c r="A759" s="2" t="s">
        <v>4770</v>
      </c>
      <c r="B759" s="3">
        <v>43977</v>
      </c>
      <c r="C759" s="2" t="s">
        <v>4771</v>
      </c>
      <c r="D759" t="s">
        <v>6158</v>
      </c>
      <c r="E759" t="str">
        <f t="shared" si="57"/>
        <v>Arabica-Dark-0.5</v>
      </c>
      <c r="F759" s="2">
        <v>3</v>
      </c>
      <c r="G759" s="2" t="str" cm="1">
        <f t="array" ref="G759">_xlfn.XLOOKUP(C759, customers!$A$1:A1758,customers!$B$1:B1758,,0)</f>
        <v>Dorotea Hollyman</v>
      </c>
      <c r="H759" s="2" t="str" cm="1">
        <f t="array" ref="H759">IF(_xlfn.XLOOKUP(C759,customers!$A$1:A1758,customers!$C$1:C1758,,0) = 0,"", _xlfn.XLOOKUP(C759,customers!$A$1:A1758,customers!$C$1:C1758,,0))</f>
        <v>dhollymanl1@ibm.com</v>
      </c>
      <c r="I759" s="2" t="str">
        <f>_xlfn.XLOOKUP(C759,customers!$A$1:$A$1001,customers!$G$1:$G$1001,,0)</f>
        <v>United States</v>
      </c>
      <c r="J759" s="2" t="str">
        <f>_xlfn.XLOOKUP(Orders[[#This Row],[Customer ID]],customers!$A$1:$A$1001,customers!$F$1:$F$1001,,0)</f>
        <v>Billings</v>
      </c>
      <c r="K759" t="str">
        <f>INDEX(products!$A$1:$G$49,MATCH(orders!$D759,products!$A$1:$A$49,0),MATCH(orders!K$1,products!$A$1:$G$1,0))</f>
        <v>Ara</v>
      </c>
      <c r="L759" t="str">
        <f>INDEX(products!$A$1:$G$49,MATCH(orders!$D759,products!$A$1:$A$49,0),MATCH(orders!L$1,products!$A$1:$G$1,0))</f>
        <v>D</v>
      </c>
      <c r="M759" s="14">
        <f>INDEX(products!$A$1:$G$49,MATCH(orders!$D759,products!$A$1:$A$49,0),MATCH(orders!M$1,products!$A$1:$G$1,0))</f>
        <v>0.5</v>
      </c>
      <c r="N759" s="4">
        <f>INDEX(products!$A$1:$G$49,MATCH(orders!$D759,products!$A$1:$A$49,0),MATCH(orders!N$1,products!$A$1:$G$1,0))</f>
        <v>5.97</v>
      </c>
      <c r="O759" s="13">
        <f t="shared" si="55"/>
        <v>17.91</v>
      </c>
      <c r="P759" s="13">
        <f>_xlfn.XLOOKUP(Orders[[#This Row],[Product ID]],products!$A$1:$A$49,products!$G$1:$G$49,,0)</f>
        <v>0.5373</v>
      </c>
      <c r="Q759" s="13">
        <f t="shared" si="56"/>
        <v>1.6118999999999999</v>
      </c>
      <c r="R759" t="str">
        <f t="shared" si="58"/>
        <v>Arabica</v>
      </c>
      <c r="S759" t="str">
        <f t="shared" si="59"/>
        <v>Dark</v>
      </c>
      <c r="T759" t="str">
        <f>_xlfn.XLOOKUP(Orders[[#This Row],[Customer ID]],customers!$A$1:$A$1001,customers!$I$1:$I$1001,,0)</f>
        <v>Yes</v>
      </c>
    </row>
    <row r="760" spans="1:20" x14ac:dyDescent="0.35">
      <c r="A760" s="2" t="s">
        <v>4776</v>
      </c>
      <c r="B760" s="3">
        <v>43672</v>
      </c>
      <c r="C760" s="2" t="s">
        <v>4777</v>
      </c>
      <c r="D760" t="s">
        <v>6177</v>
      </c>
      <c r="E760" t="str">
        <f t="shared" si="57"/>
        <v>Robusta-Dark-1</v>
      </c>
      <c r="F760" s="2">
        <v>1</v>
      </c>
      <c r="G760" s="2" t="str" cm="1">
        <f t="array" ref="G760">_xlfn.XLOOKUP(C760, customers!$A$1:A1759,customers!$B$1:B1759,,0)</f>
        <v>Lorelei Nardoni</v>
      </c>
      <c r="H760" s="2" t="str" cm="1">
        <f t="array" ref="H760">IF(_xlfn.XLOOKUP(C760,customers!$A$1:A1759,customers!$C$1:C1759,,0) = 0,"", _xlfn.XLOOKUP(C760,customers!$A$1:A1759,customers!$C$1:C1759,,0))</f>
        <v>lnardonil2@hao123.com</v>
      </c>
      <c r="I760" s="2" t="str">
        <f>_xlfn.XLOOKUP(C760,customers!$A$1:$A$1001,customers!$G$1:$G$1001,,0)</f>
        <v>United States</v>
      </c>
      <c r="J760" s="2" t="str">
        <f>_xlfn.XLOOKUP(Orders[[#This Row],[Customer ID]],customers!$A$1:$A$1001,customers!$F$1:$F$1001,,0)</f>
        <v>Saint Louis</v>
      </c>
      <c r="K760" t="str">
        <f>INDEX(products!$A$1:$G$49,MATCH(orders!$D760,products!$A$1:$A$49,0),MATCH(orders!K$1,products!$A$1:$G$1,0))</f>
        <v>Rob</v>
      </c>
      <c r="L760" t="str">
        <f>INDEX(products!$A$1:$G$49,MATCH(orders!$D760,products!$A$1:$A$49,0),MATCH(orders!L$1,products!$A$1:$G$1,0))</f>
        <v>D</v>
      </c>
      <c r="M760" s="14">
        <f>INDEX(products!$A$1:$G$49,MATCH(orders!$D760,products!$A$1:$A$49,0),MATCH(orders!M$1,products!$A$1:$G$1,0))</f>
        <v>1</v>
      </c>
      <c r="N760" s="4">
        <f>INDEX(products!$A$1:$G$49,MATCH(orders!$D760,products!$A$1:$A$49,0),MATCH(orders!N$1,products!$A$1:$G$1,0))</f>
        <v>8.9499999999999993</v>
      </c>
      <c r="O760" s="13">
        <f t="shared" si="55"/>
        <v>8.9499999999999993</v>
      </c>
      <c r="P760" s="13">
        <f>_xlfn.XLOOKUP(Orders[[#This Row],[Product ID]],products!$A$1:$A$49,products!$G$1:$G$49,,0)</f>
        <v>0.53699999999999992</v>
      </c>
      <c r="Q760" s="13">
        <f t="shared" si="56"/>
        <v>0.53699999999999992</v>
      </c>
      <c r="R760" t="str">
        <f t="shared" si="58"/>
        <v>Robusta</v>
      </c>
      <c r="S760" t="str">
        <f t="shared" si="59"/>
        <v>Dark</v>
      </c>
      <c r="T760" t="str">
        <f>_xlfn.XLOOKUP(Orders[[#This Row],[Customer ID]],customers!$A$1:$A$1001,customers!$I$1:$I$1001,,0)</f>
        <v>No</v>
      </c>
    </row>
    <row r="761" spans="1:20" x14ac:dyDescent="0.35">
      <c r="A761" s="2" t="s">
        <v>4781</v>
      </c>
      <c r="B761" s="3">
        <v>44126</v>
      </c>
      <c r="C761" s="2" t="s">
        <v>4782</v>
      </c>
      <c r="D761" t="s">
        <v>6165</v>
      </c>
      <c r="E761" t="str">
        <f t="shared" si="57"/>
        <v>Liberica-Dark-2.5</v>
      </c>
      <c r="F761" s="2">
        <v>1</v>
      </c>
      <c r="G761" s="2" t="str" cm="1">
        <f t="array" ref="G761">_xlfn.XLOOKUP(C761, customers!$A$1:A1760,customers!$B$1:B1760,,0)</f>
        <v>Dallas Yarham</v>
      </c>
      <c r="H761" s="2" t="str" cm="1">
        <f t="array" ref="H761">IF(_xlfn.XLOOKUP(C761,customers!$A$1:A1760,customers!$C$1:C1760,,0) = 0,"", _xlfn.XLOOKUP(C761,customers!$A$1:A1760,customers!$C$1:C1760,,0))</f>
        <v>dyarhaml3@moonfruit.com</v>
      </c>
      <c r="I761" s="2" t="str">
        <f>_xlfn.XLOOKUP(C761,customers!$A$1:$A$1001,customers!$G$1:$G$1001,,0)</f>
        <v>United States</v>
      </c>
      <c r="J761" s="2" t="str">
        <f>_xlfn.XLOOKUP(Orders[[#This Row],[Customer ID]],customers!$A$1:$A$1001,customers!$F$1:$F$1001,,0)</f>
        <v>Independence</v>
      </c>
      <c r="K761" t="str">
        <f>INDEX(products!$A$1:$G$49,MATCH(orders!$D761,products!$A$1:$A$49,0),MATCH(orders!K$1,products!$A$1:$G$1,0))</f>
        <v>Lib</v>
      </c>
      <c r="L761" t="str">
        <f>INDEX(products!$A$1:$G$49,MATCH(orders!$D761,products!$A$1:$A$49,0),MATCH(orders!L$1,products!$A$1:$G$1,0))</f>
        <v>D</v>
      </c>
      <c r="M761" s="14">
        <f>INDEX(products!$A$1:$G$49,MATCH(orders!$D761,products!$A$1:$A$49,0),MATCH(orders!M$1,products!$A$1:$G$1,0))</f>
        <v>2.5</v>
      </c>
      <c r="N761" s="4">
        <f>INDEX(products!$A$1:$G$49,MATCH(orders!$D761,products!$A$1:$A$49,0),MATCH(orders!N$1,products!$A$1:$G$1,0))</f>
        <v>29.784999999999997</v>
      </c>
      <c r="O761" s="13">
        <f t="shared" si="55"/>
        <v>29.784999999999997</v>
      </c>
      <c r="P761" s="13">
        <f>_xlfn.XLOOKUP(Orders[[#This Row],[Product ID]],products!$A$1:$A$49,products!$G$1:$G$49,,0)</f>
        <v>3.8720499999999998</v>
      </c>
      <c r="Q761" s="13">
        <f t="shared" si="56"/>
        <v>3.8720499999999998</v>
      </c>
      <c r="R761" t="str">
        <f t="shared" si="58"/>
        <v>Liberica</v>
      </c>
      <c r="S761" t="str">
        <f t="shared" si="59"/>
        <v>Dark</v>
      </c>
      <c r="T761" t="str">
        <f>_xlfn.XLOOKUP(Orders[[#This Row],[Customer ID]],customers!$A$1:$A$1001,customers!$I$1:$I$1001,,0)</f>
        <v>Yes</v>
      </c>
    </row>
    <row r="762" spans="1:20" x14ac:dyDescent="0.35">
      <c r="A762" s="2" t="s">
        <v>4787</v>
      </c>
      <c r="B762" s="3">
        <v>44189</v>
      </c>
      <c r="C762" s="2" t="s">
        <v>4788</v>
      </c>
      <c r="D762" t="s">
        <v>6176</v>
      </c>
      <c r="E762" t="str">
        <f t="shared" si="57"/>
        <v>Excelsa-Light-0.5</v>
      </c>
      <c r="F762" s="2">
        <v>5</v>
      </c>
      <c r="G762" s="2" t="str" cm="1">
        <f t="array" ref="G762">_xlfn.XLOOKUP(C762, customers!$A$1:A1761,customers!$B$1:B1761,,0)</f>
        <v>Arlana Ferrea</v>
      </c>
      <c r="H762" s="2" t="str" cm="1">
        <f t="array" ref="H762">IF(_xlfn.XLOOKUP(C762,customers!$A$1:A1761,customers!$C$1:C1761,,0) = 0,"", _xlfn.XLOOKUP(C762,customers!$A$1:A1761,customers!$C$1:C1761,,0))</f>
        <v>aferreal4@wikia.com</v>
      </c>
      <c r="I762" s="2" t="str">
        <f>_xlfn.XLOOKUP(C762,customers!$A$1:$A$1001,customers!$G$1:$G$1001,,0)</f>
        <v>United States</v>
      </c>
      <c r="J762" s="2" t="str">
        <f>_xlfn.XLOOKUP(Orders[[#This Row],[Customer ID]],customers!$A$1:$A$1001,customers!$F$1:$F$1001,,0)</f>
        <v>Greensboro</v>
      </c>
      <c r="K762" t="str">
        <f>INDEX(products!$A$1:$G$49,MATCH(orders!$D762,products!$A$1:$A$49,0),MATCH(orders!K$1,products!$A$1:$G$1,0))</f>
        <v>Exc</v>
      </c>
      <c r="L762" t="str">
        <f>INDEX(products!$A$1:$G$49,MATCH(orders!$D762,products!$A$1:$A$49,0),MATCH(orders!L$1,products!$A$1:$G$1,0))</f>
        <v>L</v>
      </c>
      <c r="M762" s="14">
        <f>INDEX(products!$A$1:$G$49,MATCH(orders!$D762,products!$A$1:$A$49,0),MATCH(orders!M$1,products!$A$1:$G$1,0))</f>
        <v>0.5</v>
      </c>
      <c r="N762" s="4">
        <f>INDEX(products!$A$1:$G$49,MATCH(orders!$D762,products!$A$1:$A$49,0),MATCH(orders!N$1,products!$A$1:$G$1,0))</f>
        <v>8.91</v>
      </c>
      <c r="O762" s="13">
        <f t="shared" si="55"/>
        <v>44.55</v>
      </c>
      <c r="P762" s="13">
        <f>_xlfn.XLOOKUP(Orders[[#This Row],[Product ID]],products!$A$1:$A$49,products!$G$1:$G$49,,0)</f>
        <v>0.98009999999999997</v>
      </c>
      <c r="Q762" s="13">
        <f t="shared" si="56"/>
        <v>4.9005000000000001</v>
      </c>
      <c r="R762" t="str">
        <f t="shared" si="58"/>
        <v>Execelsa</v>
      </c>
      <c r="S762" t="str">
        <f t="shared" si="59"/>
        <v>Light</v>
      </c>
      <c r="T762" t="str">
        <f>_xlfn.XLOOKUP(Orders[[#This Row],[Customer ID]],customers!$A$1:$A$1001,customers!$I$1:$I$1001,,0)</f>
        <v>No</v>
      </c>
    </row>
    <row r="763" spans="1:20" x14ac:dyDescent="0.35">
      <c r="A763" s="2" t="s">
        <v>4792</v>
      </c>
      <c r="B763" s="3">
        <v>43714</v>
      </c>
      <c r="C763" s="2" t="s">
        <v>4793</v>
      </c>
      <c r="D763" t="s">
        <v>6171</v>
      </c>
      <c r="E763" t="str">
        <f t="shared" si="57"/>
        <v>Excelsa-Light-1</v>
      </c>
      <c r="F763" s="2">
        <v>6</v>
      </c>
      <c r="G763" s="2" t="str" cm="1">
        <f t="array" ref="G763">_xlfn.XLOOKUP(C763, customers!$A$1:A1762,customers!$B$1:B1762,,0)</f>
        <v>Chuck Kendrick</v>
      </c>
      <c r="H763" s="2" t="str" cm="1">
        <f t="array" ref="H763">IF(_xlfn.XLOOKUP(C763,customers!$A$1:A1762,customers!$C$1:C1762,,0) = 0,"", _xlfn.XLOOKUP(C763,customers!$A$1:A1762,customers!$C$1:C1762,,0))</f>
        <v>ckendrickl5@webnode.com</v>
      </c>
      <c r="I763" s="2" t="str">
        <f>_xlfn.XLOOKUP(C763,customers!$A$1:$A$1001,customers!$G$1:$G$1001,,0)</f>
        <v>United States</v>
      </c>
      <c r="J763" s="2" t="str">
        <f>_xlfn.XLOOKUP(Orders[[#This Row],[Customer ID]],customers!$A$1:$A$1001,customers!$F$1:$F$1001,,0)</f>
        <v>Monroe</v>
      </c>
      <c r="K763" t="str">
        <f>INDEX(products!$A$1:$G$49,MATCH(orders!$D763,products!$A$1:$A$49,0),MATCH(orders!K$1,products!$A$1:$G$1,0))</f>
        <v>Exc</v>
      </c>
      <c r="L763" t="str">
        <f>INDEX(products!$A$1:$G$49,MATCH(orders!$D763,products!$A$1:$A$49,0),MATCH(orders!L$1,products!$A$1:$G$1,0))</f>
        <v>L</v>
      </c>
      <c r="M763" s="14">
        <f>INDEX(products!$A$1:$G$49,MATCH(orders!$D763,products!$A$1:$A$49,0),MATCH(orders!M$1,products!$A$1:$G$1,0))</f>
        <v>1</v>
      </c>
      <c r="N763" s="4">
        <f>INDEX(products!$A$1:$G$49,MATCH(orders!$D763,products!$A$1:$A$49,0),MATCH(orders!N$1,products!$A$1:$G$1,0))</f>
        <v>14.85</v>
      </c>
      <c r="O763" s="13">
        <f t="shared" si="55"/>
        <v>89.1</v>
      </c>
      <c r="P763" s="13">
        <f>_xlfn.XLOOKUP(Orders[[#This Row],[Product ID]],products!$A$1:$A$49,products!$G$1:$G$49,,0)</f>
        <v>1.6335</v>
      </c>
      <c r="Q763" s="13">
        <f t="shared" si="56"/>
        <v>9.8010000000000002</v>
      </c>
      <c r="R763" t="str">
        <f t="shared" si="58"/>
        <v>Execelsa</v>
      </c>
      <c r="S763" t="str">
        <f t="shared" si="59"/>
        <v>Light</v>
      </c>
      <c r="T763" t="str">
        <f>_xlfn.XLOOKUP(Orders[[#This Row],[Customer ID]],customers!$A$1:$A$1001,customers!$I$1:$I$1001,,0)</f>
        <v>Yes</v>
      </c>
    </row>
    <row r="764" spans="1:20" x14ac:dyDescent="0.35">
      <c r="A764" s="2" t="s">
        <v>4797</v>
      </c>
      <c r="B764" s="3">
        <v>43563</v>
      </c>
      <c r="C764" s="2" t="s">
        <v>4798</v>
      </c>
      <c r="D764" t="s">
        <v>6160</v>
      </c>
      <c r="E764" t="str">
        <f t="shared" si="57"/>
        <v>Liberica-Medium-0.5</v>
      </c>
      <c r="F764" s="2">
        <v>5</v>
      </c>
      <c r="G764" s="2" t="str" cm="1">
        <f t="array" ref="G764">_xlfn.XLOOKUP(C764, customers!$A$1:A1763,customers!$B$1:B1763,,0)</f>
        <v>Sharona Danilchik</v>
      </c>
      <c r="H764" s="2" t="str" cm="1">
        <f t="array" ref="H764">IF(_xlfn.XLOOKUP(C764,customers!$A$1:A1763,customers!$C$1:C1763,,0) = 0,"", _xlfn.XLOOKUP(C764,customers!$A$1:A1763,customers!$C$1:C1763,,0))</f>
        <v>sdanilchikl6@mit.edu</v>
      </c>
      <c r="I764" s="2" t="str">
        <f>_xlfn.XLOOKUP(C764,customers!$A$1:$A$1001,customers!$G$1:$G$1001,,0)</f>
        <v>United Kingdom</v>
      </c>
      <c r="J764" s="2" t="str">
        <f>_xlfn.XLOOKUP(Orders[[#This Row],[Customer ID]],customers!$A$1:$A$1001,customers!$F$1:$F$1001,,0)</f>
        <v>Halton</v>
      </c>
      <c r="K764" t="str">
        <f>INDEX(products!$A$1:$G$49,MATCH(orders!$D764,products!$A$1:$A$49,0),MATCH(orders!K$1,products!$A$1:$G$1,0))</f>
        <v>Lib</v>
      </c>
      <c r="L764" t="str">
        <f>INDEX(products!$A$1:$G$49,MATCH(orders!$D764,products!$A$1:$A$49,0),MATCH(orders!L$1,products!$A$1:$G$1,0))</f>
        <v>M</v>
      </c>
      <c r="M764" s="14">
        <f>INDEX(products!$A$1:$G$49,MATCH(orders!$D764,products!$A$1:$A$49,0),MATCH(orders!M$1,products!$A$1:$G$1,0))</f>
        <v>0.5</v>
      </c>
      <c r="N764" s="4">
        <f>INDEX(products!$A$1:$G$49,MATCH(orders!$D764,products!$A$1:$A$49,0),MATCH(orders!N$1,products!$A$1:$G$1,0))</f>
        <v>8.73</v>
      </c>
      <c r="O764" s="13">
        <f t="shared" si="55"/>
        <v>43.650000000000006</v>
      </c>
      <c r="P764" s="13">
        <f>_xlfn.XLOOKUP(Orders[[#This Row],[Product ID]],products!$A$1:$A$49,products!$G$1:$G$49,,0)</f>
        <v>1.1349</v>
      </c>
      <c r="Q764" s="13">
        <f t="shared" si="56"/>
        <v>5.6745000000000001</v>
      </c>
      <c r="R764" t="str">
        <f t="shared" si="58"/>
        <v>Liberica</v>
      </c>
      <c r="S764" t="str">
        <f t="shared" si="59"/>
        <v>Medium</v>
      </c>
      <c r="T764" t="str">
        <f>_xlfn.XLOOKUP(Orders[[#This Row],[Customer ID]],customers!$A$1:$A$1001,customers!$I$1:$I$1001,,0)</f>
        <v>No</v>
      </c>
    </row>
    <row r="765" spans="1:20" x14ac:dyDescent="0.35">
      <c r="A765" s="2" t="s">
        <v>4803</v>
      </c>
      <c r="B765" s="3">
        <v>44587</v>
      </c>
      <c r="C765" s="2" t="s">
        <v>4804</v>
      </c>
      <c r="D765" t="s">
        <v>6180</v>
      </c>
      <c r="E765" t="str">
        <f t="shared" si="57"/>
        <v>Arabica-Light-0.5</v>
      </c>
      <c r="F765" s="2">
        <v>3</v>
      </c>
      <c r="G765" s="2" t="str" cm="1">
        <f t="array" ref="G765">_xlfn.XLOOKUP(C765, customers!$A$1:A1764,customers!$B$1:B1764,,0)</f>
        <v>Sarajane Potter</v>
      </c>
      <c r="H765" s="2" t="str" cm="1">
        <f t="array" ref="H765">IF(_xlfn.XLOOKUP(C765,customers!$A$1:A1764,customers!$C$1:C1764,,0) = 0,"", _xlfn.XLOOKUP(C765,customers!$A$1:A1764,customers!$C$1:C1764,,0))</f>
        <v/>
      </c>
      <c r="I765" s="2" t="str">
        <f>_xlfn.XLOOKUP(C765,customers!$A$1:$A$1001,customers!$G$1:$G$1001,,0)</f>
        <v>United States</v>
      </c>
      <c r="J765" s="2" t="str">
        <f>_xlfn.XLOOKUP(Orders[[#This Row],[Customer ID]],customers!$A$1:$A$1001,customers!$F$1:$F$1001,,0)</f>
        <v>Fort Worth</v>
      </c>
      <c r="K765" t="str">
        <f>INDEX(products!$A$1:$G$49,MATCH(orders!$D765,products!$A$1:$A$49,0),MATCH(orders!K$1,products!$A$1:$G$1,0))</f>
        <v>Ara</v>
      </c>
      <c r="L765" t="str">
        <f>INDEX(products!$A$1:$G$49,MATCH(orders!$D765,products!$A$1:$A$49,0),MATCH(orders!L$1,products!$A$1:$G$1,0))</f>
        <v>L</v>
      </c>
      <c r="M765" s="14">
        <f>INDEX(products!$A$1:$G$49,MATCH(orders!$D765,products!$A$1:$A$49,0),MATCH(orders!M$1,products!$A$1:$G$1,0))</f>
        <v>0.5</v>
      </c>
      <c r="N765" s="4">
        <f>INDEX(products!$A$1:$G$49,MATCH(orders!$D765,products!$A$1:$A$49,0),MATCH(orders!N$1,products!$A$1:$G$1,0))</f>
        <v>7.77</v>
      </c>
      <c r="O765" s="13">
        <f t="shared" si="55"/>
        <v>23.31</v>
      </c>
      <c r="P765" s="13">
        <f>_xlfn.XLOOKUP(Orders[[#This Row],[Product ID]],products!$A$1:$A$49,products!$G$1:$G$49,,0)</f>
        <v>0.69929999999999992</v>
      </c>
      <c r="Q765" s="13">
        <f t="shared" si="56"/>
        <v>2.0978999999999997</v>
      </c>
      <c r="R765" t="str">
        <f t="shared" si="58"/>
        <v>Arabica</v>
      </c>
      <c r="S765" t="str">
        <f t="shared" si="59"/>
        <v>Light</v>
      </c>
      <c r="T765" t="str">
        <f>_xlfn.XLOOKUP(Orders[[#This Row],[Customer ID]],customers!$A$1:$A$1001,customers!$I$1:$I$1001,,0)</f>
        <v>No</v>
      </c>
    </row>
    <row r="766" spans="1:20" x14ac:dyDescent="0.35">
      <c r="A766" s="2" t="s">
        <v>4808</v>
      </c>
      <c r="B766" s="3">
        <v>43797</v>
      </c>
      <c r="C766" s="2" t="s">
        <v>4809</v>
      </c>
      <c r="D766" t="s">
        <v>6182</v>
      </c>
      <c r="E766" t="str">
        <f t="shared" si="57"/>
        <v>Arabica-Light-2.5</v>
      </c>
      <c r="F766" s="2">
        <v>6</v>
      </c>
      <c r="G766" s="2" t="str" cm="1">
        <f t="array" ref="G766">_xlfn.XLOOKUP(C766, customers!$A$1:A1765,customers!$B$1:B1765,,0)</f>
        <v>Bobby Folomkin</v>
      </c>
      <c r="H766" s="2" t="str" cm="1">
        <f t="array" ref="H766">IF(_xlfn.XLOOKUP(C766,customers!$A$1:A1765,customers!$C$1:C1765,,0) = 0,"", _xlfn.XLOOKUP(C766,customers!$A$1:A1765,customers!$C$1:C1765,,0))</f>
        <v>bfolomkinl8@yolasite.com</v>
      </c>
      <c r="I766" s="2" t="str">
        <f>_xlfn.XLOOKUP(C766,customers!$A$1:$A$1001,customers!$G$1:$G$1001,,0)</f>
        <v>United States</v>
      </c>
      <c r="J766" s="2" t="str">
        <f>_xlfn.XLOOKUP(Orders[[#This Row],[Customer ID]],customers!$A$1:$A$1001,customers!$F$1:$F$1001,,0)</f>
        <v>Fargo</v>
      </c>
      <c r="K766" t="str">
        <f>INDEX(products!$A$1:$G$49,MATCH(orders!$D766,products!$A$1:$A$49,0),MATCH(orders!K$1,products!$A$1:$G$1,0))</f>
        <v>Ara</v>
      </c>
      <c r="L766" t="str">
        <f>INDEX(products!$A$1:$G$49,MATCH(orders!$D766,products!$A$1:$A$49,0),MATCH(orders!L$1,products!$A$1:$G$1,0))</f>
        <v>L</v>
      </c>
      <c r="M766" s="14">
        <f>INDEX(products!$A$1:$G$49,MATCH(orders!$D766,products!$A$1:$A$49,0),MATCH(orders!M$1,products!$A$1:$G$1,0))</f>
        <v>2.5</v>
      </c>
      <c r="N766" s="4">
        <f>INDEX(products!$A$1:$G$49,MATCH(orders!$D766,products!$A$1:$A$49,0),MATCH(orders!N$1,products!$A$1:$G$1,0))</f>
        <v>29.784999999999997</v>
      </c>
      <c r="O766" s="13">
        <f t="shared" si="55"/>
        <v>178.70999999999998</v>
      </c>
      <c r="P766" s="13">
        <f>_xlfn.XLOOKUP(Orders[[#This Row],[Product ID]],products!$A$1:$A$49,products!$G$1:$G$49,,0)</f>
        <v>2.6806499999999995</v>
      </c>
      <c r="Q766" s="13">
        <f t="shared" si="56"/>
        <v>16.083899999999996</v>
      </c>
      <c r="R766" t="str">
        <f t="shared" si="58"/>
        <v>Arabica</v>
      </c>
      <c r="S766" t="str">
        <f t="shared" si="59"/>
        <v>Light</v>
      </c>
      <c r="T766" t="str">
        <f>_xlfn.XLOOKUP(Orders[[#This Row],[Customer ID]],customers!$A$1:$A$1001,customers!$I$1:$I$1001,,0)</f>
        <v>Yes</v>
      </c>
    </row>
    <row r="767" spans="1:20" x14ac:dyDescent="0.35">
      <c r="A767" s="2" t="s">
        <v>4814</v>
      </c>
      <c r="B767" s="3">
        <v>43667</v>
      </c>
      <c r="C767" s="2" t="s">
        <v>4815</v>
      </c>
      <c r="D767" t="s">
        <v>6138</v>
      </c>
      <c r="E767" t="str">
        <f t="shared" si="57"/>
        <v>Robusta-Medium-1</v>
      </c>
      <c r="F767" s="2">
        <v>6</v>
      </c>
      <c r="G767" s="2" t="str" cm="1">
        <f t="array" ref="G767">_xlfn.XLOOKUP(C767, customers!$A$1:A1766,customers!$B$1:B1766,,0)</f>
        <v>Rafferty Pursglove</v>
      </c>
      <c r="H767" s="2" t="str" cm="1">
        <f t="array" ref="H767">IF(_xlfn.XLOOKUP(C767,customers!$A$1:A1766,customers!$C$1:C1766,,0) = 0,"", _xlfn.XLOOKUP(C767,customers!$A$1:A1766,customers!$C$1:C1766,,0))</f>
        <v>rpursglovel9@biblegateway.com</v>
      </c>
      <c r="I767" s="2" t="str">
        <f>_xlfn.XLOOKUP(C767,customers!$A$1:$A$1001,customers!$G$1:$G$1001,,0)</f>
        <v>United States</v>
      </c>
      <c r="J767" s="2" t="str">
        <f>_xlfn.XLOOKUP(Orders[[#This Row],[Customer ID]],customers!$A$1:$A$1001,customers!$F$1:$F$1001,,0)</f>
        <v>Garland</v>
      </c>
      <c r="K767" t="str">
        <f>INDEX(products!$A$1:$G$49,MATCH(orders!$D767,products!$A$1:$A$49,0),MATCH(orders!K$1,products!$A$1:$G$1,0))</f>
        <v>Rob</v>
      </c>
      <c r="L767" t="str">
        <f>INDEX(products!$A$1:$G$49,MATCH(orders!$D767,products!$A$1:$A$49,0),MATCH(orders!L$1,products!$A$1:$G$1,0))</f>
        <v>M</v>
      </c>
      <c r="M767" s="14">
        <f>INDEX(products!$A$1:$G$49,MATCH(orders!$D767,products!$A$1:$A$49,0),MATCH(orders!M$1,products!$A$1:$G$1,0))</f>
        <v>1</v>
      </c>
      <c r="N767" s="4">
        <f>INDEX(products!$A$1:$G$49,MATCH(orders!$D767,products!$A$1:$A$49,0),MATCH(orders!N$1,products!$A$1:$G$1,0))</f>
        <v>9.9499999999999993</v>
      </c>
      <c r="O767" s="13">
        <f t="shared" si="55"/>
        <v>59.699999999999996</v>
      </c>
      <c r="P767" s="13">
        <f>_xlfn.XLOOKUP(Orders[[#This Row],[Product ID]],products!$A$1:$A$49,products!$G$1:$G$49,,0)</f>
        <v>0.59699999999999998</v>
      </c>
      <c r="Q767" s="13">
        <f t="shared" si="56"/>
        <v>3.5819999999999999</v>
      </c>
      <c r="R767" t="str">
        <f t="shared" si="58"/>
        <v>Robusta</v>
      </c>
      <c r="S767" t="str">
        <f t="shared" si="59"/>
        <v>Medium</v>
      </c>
      <c r="T767" t="str">
        <f>_xlfn.XLOOKUP(Orders[[#This Row],[Customer ID]],customers!$A$1:$A$1001,customers!$I$1:$I$1001,,0)</f>
        <v>Yes</v>
      </c>
    </row>
    <row r="768" spans="1:20" x14ac:dyDescent="0.35">
      <c r="A768" s="2" t="s">
        <v>4814</v>
      </c>
      <c r="B768" s="3">
        <v>43667</v>
      </c>
      <c r="C768" s="2" t="s">
        <v>4815</v>
      </c>
      <c r="D768" t="s">
        <v>6180</v>
      </c>
      <c r="E768" t="str">
        <f t="shared" si="57"/>
        <v>Arabica-Light-0.5</v>
      </c>
      <c r="F768" s="2">
        <v>2</v>
      </c>
      <c r="G768" s="2" t="str" cm="1">
        <f t="array" ref="G768">_xlfn.XLOOKUP(C768, customers!$A$1:A1767,customers!$B$1:B1767,,0)</f>
        <v>Rafferty Pursglove</v>
      </c>
      <c r="H768" s="2" t="str" cm="1">
        <f t="array" ref="H768">IF(_xlfn.XLOOKUP(C768,customers!$A$1:A1767,customers!$C$1:C1767,,0) = 0,"", _xlfn.XLOOKUP(C768,customers!$A$1:A1767,customers!$C$1:C1767,,0))</f>
        <v>rpursglovel9@biblegateway.com</v>
      </c>
      <c r="I768" s="2" t="str">
        <f>_xlfn.XLOOKUP(C768,customers!$A$1:$A$1001,customers!$G$1:$G$1001,,0)</f>
        <v>United States</v>
      </c>
      <c r="J768" s="2" t="str">
        <f>_xlfn.XLOOKUP(Orders[[#This Row],[Customer ID]],customers!$A$1:$A$1001,customers!$F$1:$F$1001,,0)</f>
        <v>Garland</v>
      </c>
      <c r="K768" t="str">
        <f>INDEX(products!$A$1:$G$49,MATCH(orders!$D768,products!$A$1:$A$49,0),MATCH(orders!K$1,products!$A$1:$G$1,0))</f>
        <v>Ara</v>
      </c>
      <c r="L768" t="str">
        <f>INDEX(products!$A$1:$G$49,MATCH(orders!$D768,products!$A$1:$A$49,0),MATCH(orders!L$1,products!$A$1:$G$1,0))</f>
        <v>L</v>
      </c>
      <c r="M768" s="14">
        <f>INDEX(products!$A$1:$G$49,MATCH(orders!$D768,products!$A$1:$A$49,0),MATCH(orders!M$1,products!$A$1:$G$1,0))</f>
        <v>0.5</v>
      </c>
      <c r="N768" s="4">
        <f>INDEX(products!$A$1:$G$49,MATCH(orders!$D768,products!$A$1:$A$49,0),MATCH(orders!N$1,products!$A$1:$G$1,0))</f>
        <v>7.77</v>
      </c>
      <c r="O768" s="13">
        <f t="shared" si="55"/>
        <v>15.54</v>
      </c>
      <c r="P768" s="13">
        <f>_xlfn.XLOOKUP(Orders[[#This Row],[Product ID]],products!$A$1:$A$49,products!$G$1:$G$49,,0)</f>
        <v>0.69929999999999992</v>
      </c>
      <c r="Q768" s="13">
        <f t="shared" si="56"/>
        <v>1.3985999999999998</v>
      </c>
      <c r="R768" t="str">
        <f t="shared" si="58"/>
        <v>Arabica</v>
      </c>
      <c r="S768" t="str">
        <f t="shared" si="59"/>
        <v>Light</v>
      </c>
      <c r="T768" t="str">
        <f>_xlfn.XLOOKUP(Orders[[#This Row],[Customer ID]],customers!$A$1:$A$1001,customers!$I$1:$I$1001,,0)</f>
        <v>Yes</v>
      </c>
    </row>
    <row r="769" spans="1:20" x14ac:dyDescent="0.35">
      <c r="A769" s="2" t="s">
        <v>4825</v>
      </c>
      <c r="B769" s="3">
        <v>44267</v>
      </c>
      <c r="C769" s="2" t="s">
        <v>4759</v>
      </c>
      <c r="D769" t="s">
        <v>6182</v>
      </c>
      <c r="E769" t="str">
        <f t="shared" si="57"/>
        <v>Arabica-Light-2.5</v>
      </c>
      <c r="F769" s="2">
        <v>3</v>
      </c>
      <c r="G769" s="2" t="str" cm="1">
        <f t="array" ref="G769">_xlfn.XLOOKUP(C769, customers!$A$1:A1768,customers!$B$1:B1768,,0)</f>
        <v>Foster Constance</v>
      </c>
      <c r="H769" s="2" t="str" cm="1">
        <f t="array" ref="H769">IF(_xlfn.XLOOKUP(C769,customers!$A$1:A1768,customers!$C$1:C1768,,0) = 0,"", _xlfn.XLOOKUP(C769,customers!$A$1:A1768,customers!$C$1:C1768,,0))</f>
        <v>fconstancekz@ifeng.com</v>
      </c>
      <c r="I769" s="2" t="str">
        <f>_xlfn.XLOOKUP(C769,customers!$A$1:$A$1001,customers!$G$1:$G$1001,,0)</f>
        <v>United States</v>
      </c>
      <c r="J769" s="2" t="str">
        <f>_xlfn.XLOOKUP(Orders[[#This Row],[Customer ID]],customers!$A$1:$A$1001,customers!$F$1:$F$1001,,0)</f>
        <v>Dallas</v>
      </c>
      <c r="K769" t="str">
        <f>INDEX(products!$A$1:$G$49,MATCH(orders!$D769,products!$A$1:$A$49,0),MATCH(orders!K$1,products!$A$1:$G$1,0))</f>
        <v>Ara</v>
      </c>
      <c r="L769" t="str">
        <f>INDEX(products!$A$1:$G$49,MATCH(orders!$D769,products!$A$1:$A$49,0),MATCH(orders!L$1,products!$A$1:$G$1,0))</f>
        <v>L</v>
      </c>
      <c r="M769" s="14">
        <f>INDEX(products!$A$1:$G$49,MATCH(orders!$D769,products!$A$1:$A$49,0),MATCH(orders!M$1,products!$A$1:$G$1,0))</f>
        <v>2.5</v>
      </c>
      <c r="N769" s="4">
        <f>INDEX(products!$A$1:$G$49,MATCH(orders!$D769,products!$A$1:$A$49,0),MATCH(orders!N$1,products!$A$1:$G$1,0))</f>
        <v>29.784999999999997</v>
      </c>
      <c r="O769" s="13">
        <f t="shared" si="55"/>
        <v>89.35499999999999</v>
      </c>
      <c r="P769" s="13">
        <f>_xlfn.XLOOKUP(Orders[[#This Row],[Product ID]],products!$A$1:$A$49,products!$G$1:$G$49,,0)</f>
        <v>2.6806499999999995</v>
      </c>
      <c r="Q769" s="13">
        <f t="shared" si="56"/>
        <v>8.0419499999999982</v>
      </c>
      <c r="R769" t="str">
        <f t="shared" si="58"/>
        <v>Arabica</v>
      </c>
      <c r="S769" t="str">
        <f t="shared" si="59"/>
        <v>Light</v>
      </c>
      <c r="T769" t="str">
        <f>_xlfn.XLOOKUP(Orders[[#This Row],[Customer ID]],customers!$A$1:$A$1001,customers!$I$1:$I$1001,,0)</f>
        <v>No</v>
      </c>
    </row>
    <row r="770" spans="1:20" x14ac:dyDescent="0.35">
      <c r="A770" s="2" t="s">
        <v>4831</v>
      </c>
      <c r="B770" s="3">
        <v>44562</v>
      </c>
      <c r="C770" s="2" t="s">
        <v>4759</v>
      </c>
      <c r="D770" t="s">
        <v>6179</v>
      </c>
      <c r="E770" t="str">
        <f t="shared" si="57"/>
        <v>Robusta-Light-1</v>
      </c>
      <c r="F770" s="2">
        <v>2</v>
      </c>
      <c r="G770" s="2" t="str" cm="1">
        <f t="array" ref="G770">_xlfn.XLOOKUP(C770, customers!$A$1:A1769,customers!$B$1:B1769,,0)</f>
        <v>Foster Constance</v>
      </c>
      <c r="H770" s="2" t="str" cm="1">
        <f t="array" ref="H770">IF(_xlfn.XLOOKUP(C770,customers!$A$1:A1769,customers!$C$1:C1769,,0) = 0,"", _xlfn.XLOOKUP(C770,customers!$A$1:A1769,customers!$C$1:C1769,,0))</f>
        <v>fconstancekz@ifeng.com</v>
      </c>
      <c r="I770" s="2" t="str">
        <f>_xlfn.XLOOKUP(C770,customers!$A$1:$A$1001,customers!$G$1:$G$1001,,0)</f>
        <v>United States</v>
      </c>
      <c r="J770" s="2" t="str">
        <f>_xlfn.XLOOKUP(Orders[[#This Row],[Customer ID]],customers!$A$1:$A$1001,customers!$F$1:$F$1001,,0)</f>
        <v>Dallas</v>
      </c>
      <c r="K770" t="str">
        <f>INDEX(products!$A$1:$G$49,MATCH(orders!$D770,products!$A$1:$A$49,0),MATCH(orders!K$1,products!$A$1:$G$1,0))</f>
        <v>Rob</v>
      </c>
      <c r="L770" t="str">
        <f>INDEX(products!$A$1:$G$49,MATCH(orders!$D770,products!$A$1:$A$49,0),MATCH(orders!L$1,products!$A$1:$G$1,0))</f>
        <v>L</v>
      </c>
      <c r="M770" s="14">
        <f>INDEX(products!$A$1:$G$49,MATCH(orders!$D770,products!$A$1:$A$49,0),MATCH(orders!M$1,products!$A$1:$G$1,0))</f>
        <v>1</v>
      </c>
      <c r="N770" s="4">
        <f>INDEX(products!$A$1:$G$49,MATCH(orders!$D770,products!$A$1:$A$49,0),MATCH(orders!N$1,products!$A$1:$G$1,0))</f>
        <v>11.95</v>
      </c>
      <c r="O770" s="13">
        <f t="shared" ref="O770:O833" si="60">N770*F770</f>
        <v>23.9</v>
      </c>
      <c r="P770" s="13">
        <f>_xlfn.XLOOKUP(Orders[[#This Row],[Product ID]],products!$A$1:$A$49,products!$G$1:$G$49,,0)</f>
        <v>0.71699999999999997</v>
      </c>
      <c r="Q770" s="13">
        <f t="shared" ref="Q770:Q833" si="61">P770*F770</f>
        <v>1.4339999999999999</v>
      </c>
      <c r="R770" t="str">
        <f t="shared" si="58"/>
        <v>Robusta</v>
      </c>
      <c r="S770" t="str">
        <f t="shared" si="59"/>
        <v>Light</v>
      </c>
      <c r="T770" t="str">
        <f>_xlfn.XLOOKUP(Orders[[#This Row],[Customer ID]],customers!$A$1:$A$1001,customers!$I$1:$I$1001,,0)</f>
        <v>No</v>
      </c>
    </row>
    <row r="771" spans="1:20" x14ac:dyDescent="0.35">
      <c r="A771" s="2" t="s">
        <v>4836</v>
      </c>
      <c r="B771" s="3">
        <v>43912</v>
      </c>
      <c r="C771" s="2" t="s">
        <v>4837</v>
      </c>
      <c r="D771" t="s">
        <v>6151</v>
      </c>
      <c r="E771" t="str">
        <f t="shared" ref="E771:E834" si="62">IF(LEFT(D771,1)="R", "Robusta",
    IF(LEFT(D771,1)="A", "Arabica",
        IF(LEFT(D771,1)="E", "Excelsa",
            IF(LEFT(D771,1)="L", "Liberica", "")
        )
    )
) &amp; "-" &amp;
IF(MID(D771,3,1)="D", "Dark",
    IF(MID(D771,3,1)="M", "Medium",
        IF(MID(D771,3,1)="L", "Light", "")
    )
) &amp; "-" &amp;
MID(D771,5,LEN(D771)-4)</f>
        <v>Robusta-Medium-2.5</v>
      </c>
      <c r="F771" s="2">
        <v>6</v>
      </c>
      <c r="G771" s="2" t="str" cm="1">
        <f t="array" ref="G771">_xlfn.XLOOKUP(C771, customers!$A$1:A1770,customers!$B$1:B1770,,0)</f>
        <v>Dalia Eburah</v>
      </c>
      <c r="H771" s="2" t="str" cm="1">
        <f t="array" ref="H771">IF(_xlfn.XLOOKUP(C771,customers!$A$1:A1770,customers!$C$1:C1770,,0) = 0,"", _xlfn.XLOOKUP(C771,customers!$A$1:A1770,customers!$C$1:C1770,,0))</f>
        <v>deburahld@google.co.jp</v>
      </c>
      <c r="I771" s="2" t="str">
        <f>_xlfn.XLOOKUP(C771,customers!$A$1:$A$1001,customers!$G$1:$G$1001,,0)</f>
        <v>United Kingdom</v>
      </c>
      <c r="J771" s="2" t="str">
        <f>_xlfn.XLOOKUP(Orders[[#This Row],[Customer ID]],customers!$A$1:$A$1001,customers!$F$1:$F$1001,,0)</f>
        <v>Birmingham</v>
      </c>
      <c r="K771" t="str">
        <f>INDEX(products!$A$1:$G$49,MATCH(orders!$D771,products!$A$1:$A$49,0),MATCH(orders!K$1,products!$A$1:$G$1,0))</f>
        <v>Rob</v>
      </c>
      <c r="L771" t="str">
        <f>INDEX(products!$A$1:$G$49,MATCH(orders!$D771,products!$A$1:$A$49,0),MATCH(orders!L$1,products!$A$1:$G$1,0))</f>
        <v>M</v>
      </c>
      <c r="M771" s="14">
        <f>INDEX(products!$A$1:$G$49,MATCH(orders!$D771,products!$A$1:$A$49,0),MATCH(orders!M$1,products!$A$1:$G$1,0))</f>
        <v>2.5</v>
      </c>
      <c r="N771" s="4">
        <f>INDEX(products!$A$1:$G$49,MATCH(orders!$D771,products!$A$1:$A$49,0),MATCH(orders!N$1,products!$A$1:$G$1,0))</f>
        <v>22.884999999999998</v>
      </c>
      <c r="O771" s="13">
        <f t="shared" si="60"/>
        <v>137.31</v>
      </c>
      <c r="P771" s="13">
        <f>_xlfn.XLOOKUP(Orders[[#This Row],[Product ID]],products!$A$1:$A$49,products!$G$1:$G$49,,0)</f>
        <v>1.3730999999999998</v>
      </c>
      <c r="Q771" s="13">
        <f t="shared" si="61"/>
        <v>8.2385999999999981</v>
      </c>
      <c r="R771" t="str">
        <f t="shared" ref="R771:R834" si="63">IF(K771="Rob","Robusta",IF(K771="Exc","Execelsa",IF(K771="Ara","Arabica",IF(K771="Lib","Liberica",""))))</f>
        <v>Robusta</v>
      </c>
      <c r="S771" t="str">
        <f t="shared" ref="S771:S834" si="64" xml:space="preserve"> IF(L771="M", "Medium", IF(L771="L","Light",IF(L771="D","Dark","")))</f>
        <v>Medium</v>
      </c>
      <c r="T771" t="str">
        <f>_xlfn.XLOOKUP(Orders[[#This Row],[Customer ID]],customers!$A$1:$A$1001,customers!$I$1:$I$1001,,0)</f>
        <v>No</v>
      </c>
    </row>
    <row r="772" spans="1:20" x14ac:dyDescent="0.35">
      <c r="A772" s="2" t="s">
        <v>4842</v>
      </c>
      <c r="B772" s="3">
        <v>44092</v>
      </c>
      <c r="C772" s="2" t="s">
        <v>4843</v>
      </c>
      <c r="D772" t="s">
        <v>6147</v>
      </c>
      <c r="E772" t="str">
        <f t="shared" si="62"/>
        <v>Arabica-Dark-1</v>
      </c>
      <c r="F772" s="2">
        <v>1</v>
      </c>
      <c r="G772" s="2" t="str" cm="1">
        <f t="array" ref="G772">_xlfn.XLOOKUP(C772, customers!$A$1:A1771,customers!$B$1:B1771,,0)</f>
        <v>Martie Brimilcombe</v>
      </c>
      <c r="H772" s="2" t="str" cm="1">
        <f t="array" ref="H772">IF(_xlfn.XLOOKUP(C772,customers!$A$1:A1771,customers!$C$1:C1771,,0) = 0,"", _xlfn.XLOOKUP(C772,customers!$A$1:A1771,customers!$C$1:C1771,,0))</f>
        <v>mbrimilcombele@cnn.com</v>
      </c>
      <c r="I772" s="2" t="str">
        <f>_xlfn.XLOOKUP(C772,customers!$A$1:$A$1001,customers!$G$1:$G$1001,,0)</f>
        <v>United States</v>
      </c>
      <c r="J772" s="2" t="str">
        <f>_xlfn.XLOOKUP(Orders[[#This Row],[Customer ID]],customers!$A$1:$A$1001,customers!$F$1:$F$1001,,0)</f>
        <v>Springfield</v>
      </c>
      <c r="K772" t="str">
        <f>INDEX(products!$A$1:$G$49,MATCH(orders!$D772,products!$A$1:$A$49,0),MATCH(orders!K$1,products!$A$1:$G$1,0))</f>
        <v>Ara</v>
      </c>
      <c r="L772" t="str">
        <f>INDEX(products!$A$1:$G$49,MATCH(orders!$D772,products!$A$1:$A$49,0),MATCH(orders!L$1,products!$A$1:$G$1,0))</f>
        <v>D</v>
      </c>
      <c r="M772" s="14">
        <f>INDEX(products!$A$1:$G$49,MATCH(orders!$D772,products!$A$1:$A$49,0),MATCH(orders!M$1,products!$A$1:$G$1,0))</f>
        <v>1</v>
      </c>
      <c r="N772" s="4">
        <f>INDEX(products!$A$1:$G$49,MATCH(orders!$D772,products!$A$1:$A$49,0),MATCH(orders!N$1,products!$A$1:$G$1,0))</f>
        <v>9.9499999999999993</v>
      </c>
      <c r="O772" s="13">
        <f t="shared" si="60"/>
        <v>9.9499999999999993</v>
      </c>
      <c r="P772" s="13">
        <f>_xlfn.XLOOKUP(Orders[[#This Row],[Product ID]],products!$A$1:$A$49,products!$G$1:$G$49,,0)</f>
        <v>0.89549999999999985</v>
      </c>
      <c r="Q772" s="13">
        <f t="shared" si="61"/>
        <v>0.89549999999999985</v>
      </c>
      <c r="R772" t="str">
        <f t="shared" si="63"/>
        <v>Arabica</v>
      </c>
      <c r="S772" t="str">
        <f t="shared" si="64"/>
        <v>Dark</v>
      </c>
      <c r="T772" t="str">
        <f>_xlfn.XLOOKUP(Orders[[#This Row],[Customer ID]],customers!$A$1:$A$1001,customers!$I$1:$I$1001,,0)</f>
        <v>No</v>
      </c>
    </row>
    <row r="773" spans="1:20" x14ac:dyDescent="0.35">
      <c r="A773" s="2" t="s">
        <v>4847</v>
      </c>
      <c r="B773" s="3">
        <v>43468</v>
      </c>
      <c r="C773" s="2" t="s">
        <v>4848</v>
      </c>
      <c r="D773" t="s">
        <v>6173</v>
      </c>
      <c r="E773" t="str">
        <f t="shared" si="62"/>
        <v>Robusta-Light-0.5</v>
      </c>
      <c r="F773" s="2">
        <v>3</v>
      </c>
      <c r="G773" s="2" t="str" cm="1">
        <f t="array" ref="G773">_xlfn.XLOOKUP(C773, customers!$A$1:A1772,customers!$B$1:B1772,,0)</f>
        <v>Suzanna Bollam</v>
      </c>
      <c r="H773" s="2" t="str" cm="1">
        <f t="array" ref="H773">IF(_xlfn.XLOOKUP(C773,customers!$A$1:A1772,customers!$C$1:C1772,,0) = 0,"", _xlfn.XLOOKUP(C773,customers!$A$1:A1772,customers!$C$1:C1772,,0))</f>
        <v>sbollamlf@list-manage.com</v>
      </c>
      <c r="I773" s="2" t="str">
        <f>_xlfn.XLOOKUP(C773,customers!$A$1:$A$1001,customers!$G$1:$G$1001,,0)</f>
        <v>United States</v>
      </c>
      <c r="J773" s="2" t="str">
        <f>_xlfn.XLOOKUP(Orders[[#This Row],[Customer ID]],customers!$A$1:$A$1001,customers!$F$1:$F$1001,,0)</f>
        <v>Littleton</v>
      </c>
      <c r="K773" t="str">
        <f>INDEX(products!$A$1:$G$49,MATCH(orders!$D773,products!$A$1:$A$49,0),MATCH(orders!K$1,products!$A$1:$G$1,0))</f>
        <v>Rob</v>
      </c>
      <c r="L773" t="str">
        <f>INDEX(products!$A$1:$G$49,MATCH(orders!$D773,products!$A$1:$A$49,0),MATCH(orders!L$1,products!$A$1:$G$1,0))</f>
        <v>L</v>
      </c>
      <c r="M773" s="14">
        <f>INDEX(products!$A$1:$G$49,MATCH(orders!$D773,products!$A$1:$A$49,0),MATCH(orders!M$1,products!$A$1:$G$1,0))</f>
        <v>0.5</v>
      </c>
      <c r="N773" s="4">
        <f>INDEX(products!$A$1:$G$49,MATCH(orders!$D773,products!$A$1:$A$49,0),MATCH(orders!N$1,products!$A$1:$G$1,0))</f>
        <v>7.169999999999999</v>
      </c>
      <c r="O773" s="13">
        <f t="shared" si="60"/>
        <v>21.509999999999998</v>
      </c>
      <c r="P773" s="13">
        <f>_xlfn.XLOOKUP(Orders[[#This Row],[Product ID]],products!$A$1:$A$49,products!$G$1:$G$49,,0)</f>
        <v>0.43019999999999992</v>
      </c>
      <c r="Q773" s="13">
        <f t="shared" si="61"/>
        <v>1.2905999999999997</v>
      </c>
      <c r="R773" t="str">
        <f t="shared" si="63"/>
        <v>Robusta</v>
      </c>
      <c r="S773" t="str">
        <f t="shared" si="64"/>
        <v>Light</v>
      </c>
      <c r="T773" t="str">
        <f>_xlfn.XLOOKUP(Orders[[#This Row],[Customer ID]],customers!$A$1:$A$1001,customers!$I$1:$I$1001,,0)</f>
        <v>No</v>
      </c>
    </row>
    <row r="774" spans="1:20" x14ac:dyDescent="0.35">
      <c r="A774" s="2" t="s">
        <v>4853</v>
      </c>
      <c r="B774" s="3">
        <v>44468</v>
      </c>
      <c r="C774" s="2" t="s">
        <v>4854</v>
      </c>
      <c r="D774" t="s">
        <v>6141</v>
      </c>
      <c r="E774" t="str">
        <f t="shared" si="62"/>
        <v>Excelsa-Medium-1</v>
      </c>
      <c r="F774" s="2">
        <v>6</v>
      </c>
      <c r="G774" s="2" t="str" cm="1">
        <f t="array" ref="G774">_xlfn.XLOOKUP(C774, customers!$A$1:A1773,customers!$B$1:B1773,,0)</f>
        <v>Mellisa Mebes</v>
      </c>
      <c r="H774" s="2" t="str" cm="1">
        <f t="array" ref="H774">IF(_xlfn.XLOOKUP(C774,customers!$A$1:A1773,customers!$C$1:C1773,,0) = 0,"", _xlfn.XLOOKUP(C774,customers!$A$1:A1773,customers!$C$1:C1773,,0))</f>
        <v/>
      </c>
      <c r="I774" s="2" t="str">
        <f>_xlfn.XLOOKUP(C774,customers!$A$1:$A$1001,customers!$G$1:$G$1001,,0)</f>
        <v>United States</v>
      </c>
      <c r="J774" s="2" t="str">
        <f>_xlfn.XLOOKUP(Orders[[#This Row],[Customer ID]],customers!$A$1:$A$1001,customers!$F$1:$F$1001,,0)</f>
        <v>Baltimore</v>
      </c>
      <c r="K774" t="str">
        <f>INDEX(products!$A$1:$G$49,MATCH(orders!$D774,products!$A$1:$A$49,0),MATCH(orders!K$1,products!$A$1:$G$1,0))</f>
        <v>Exc</v>
      </c>
      <c r="L774" t="str">
        <f>INDEX(products!$A$1:$G$49,MATCH(orders!$D774,products!$A$1:$A$49,0),MATCH(orders!L$1,products!$A$1:$G$1,0))</f>
        <v>M</v>
      </c>
      <c r="M774" s="14">
        <f>INDEX(products!$A$1:$G$49,MATCH(orders!$D774,products!$A$1:$A$49,0),MATCH(orders!M$1,products!$A$1:$G$1,0))</f>
        <v>1</v>
      </c>
      <c r="N774" s="4">
        <f>INDEX(products!$A$1:$G$49,MATCH(orders!$D774,products!$A$1:$A$49,0),MATCH(orders!N$1,products!$A$1:$G$1,0))</f>
        <v>13.75</v>
      </c>
      <c r="O774" s="13">
        <f t="shared" si="60"/>
        <v>82.5</v>
      </c>
      <c r="P774" s="13">
        <f>_xlfn.XLOOKUP(Orders[[#This Row],[Product ID]],products!$A$1:$A$49,products!$G$1:$G$49,,0)</f>
        <v>1.5125</v>
      </c>
      <c r="Q774" s="13">
        <f t="shared" si="61"/>
        <v>9.0749999999999993</v>
      </c>
      <c r="R774" t="str">
        <f t="shared" si="63"/>
        <v>Execelsa</v>
      </c>
      <c r="S774" t="str">
        <f t="shared" si="64"/>
        <v>Medium</v>
      </c>
      <c r="T774" t="str">
        <f>_xlfn.XLOOKUP(Orders[[#This Row],[Customer ID]],customers!$A$1:$A$1001,customers!$I$1:$I$1001,,0)</f>
        <v>No</v>
      </c>
    </row>
    <row r="775" spans="1:20" x14ac:dyDescent="0.35">
      <c r="A775" s="2" t="s">
        <v>4858</v>
      </c>
      <c r="B775" s="3">
        <v>44488</v>
      </c>
      <c r="C775" s="2" t="s">
        <v>4859</v>
      </c>
      <c r="D775" t="s">
        <v>6159</v>
      </c>
      <c r="E775" t="str">
        <f t="shared" si="62"/>
        <v>Liberica-Medium-0.2</v>
      </c>
      <c r="F775" s="2">
        <v>2</v>
      </c>
      <c r="G775" s="2" t="str" cm="1">
        <f t="array" ref="G775">_xlfn.XLOOKUP(C775, customers!$A$1:A1774,customers!$B$1:B1774,,0)</f>
        <v>Alva Filipczak</v>
      </c>
      <c r="H775" s="2" t="str" cm="1">
        <f t="array" ref="H775">IF(_xlfn.XLOOKUP(C775,customers!$A$1:A1774,customers!$C$1:C1774,,0) = 0,"", _xlfn.XLOOKUP(C775,customers!$A$1:A1774,customers!$C$1:C1774,,0))</f>
        <v>afilipczaklh@ning.com</v>
      </c>
      <c r="I775" s="2" t="str">
        <f>_xlfn.XLOOKUP(C775,customers!$A$1:$A$1001,customers!$G$1:$G$1001,,0)</f>
        <v>Ireland</v>
      </c>
      <c r="J775" s="2" t="str">
        <f>_xlfn.XLOOKUP(Orders[[#This Row],[Customer ID]],customers!$A$1:$A$1001,customers!$F$1:$F$1001,,0)</f>
        <v>Moycullen</v>
      </c>
      <c r="K775" t="str">
        <f>INDEX(products!$A$1:$G$49,MATCH(orders!$D775,products!$A$1:$A$49,0),MATCH(orders!K$1,products!$A$1:$G$1,0))</f>
        <v>Lib</v>
      </c>
      <c r="L775" t="str">
        <f>INDEX(products!$A$1:$G$49,MATCH(orders!$D775,products!$A$1:$A$49,0),MATCH(orders!L$1,products!$A$1:$G$1,0))</f>
        <v>M</v>
      </c>
      <c r="M775" s="14">
        <f>INDEX(products!$A$1:$G$49,MATCH(orders!$D775,products!$A$1:$A$49,0),MATCH(orders!M$1,products!$A$1:$G$1,0))</f>
        <v>0.2</v>
      </c>
      <c r="N775" s="4">
        <f>INDEX(products!$A$1:$G$49,MATCH(orders!$D775,products!$A$1:$A$49,0),MATCH(orders!N$1,products!$A$1:$G$1,0))</f>
        <v>4.3650000000000002</v>
      </c>
      <c r="O775" s="13">
        <f t="shared" si="60"/>
        <v>8.73</v>
      </c>
      <c r="P775" s="13">
        <f>_xlfn.XLOOKUP(Orders[[#This Row],[Product ID]],products!$A$1:$A$49,products!$G$1:$G$49,,0)</f>
        <v>0.56745000000000001</v>
      </c>
      <c r="Q775" s="13">
        <f t="shared" si="61"/>
        <v>1.1349</v>
      </c>
      <c r="R775" t="str">
        <f t="shared" si="63"/>
        <v>Liberica</v>
      </c>
      <c r="S775" t="str">
        <f t="shared" si="64"/>
        <v>Medium</v>
      </c>
      <c r="T775" t="str">
        <f>_xlfn.XLOOKUP(Orders[[#This Row],[Customer ID]],customers!$A$1:$A$1001,customers!$I$1:$I$1001,,0)</f>
        <v>No</v>
      </c>
    </row>
    <row r="776" spans="1:20" x14ac:dyDescent="0.35">
      <c r="A776" s="2" t="s">
        <v>4864</v>
      </c>
      <c r="B776" s="3">
        <v>44756</v>
      </c>
      <c r="C776" s="2" t="s">
        <v>4865</v>
      </c>
      <c r="D776" t="s">
        <v>6138</v>
      </c>
      <c r="E776" t="str">
        <f t="shared" si="62"/>
        <v>Robusta-Medium-1</v>
      </c>
      <c r="F776" s="2">
        <v>2</v>
      </c>
      <c r="G776" s="2" t="str" cm="1">
        <f t="array" ref="G776">_xlfn.XLOOKUP(C776, customers!$A$1:A1775,customers!$B$1:B1775,,0)</f>
        <v>Dorette Hinemoor</v>
      </c>
      <c r="H776" s="2" t="str" cm="1">
        <f t="array" ref="H776">IF(_xlfn.XLOOKUP(C776,customers!$A$1:A1775,customers!$C$1:C1775,,0) = 0,"", _xlfn.XLOOKUP(C776,customers!$A$1:A1775,customers!$C$1:C1775,,0))</f>
        <v/>
      </c>
      <c r="I776" s="2" t="str">
        <f>_xlfn.XLOOKUP(C776,customers!$A$1:$A$1001,customers!$G$1:$G$1001,,0)</f>
        <v>United States</v>
      </c>
      <c r="J776" s="2" t="str">
        <f>_xlfn.XLOOKUP(Orders[[#This Row],[Customer ID]],customers!$A$1:$A$1001,customers!$F$1:$F$1001,,0)</f>
        <v>Fort Lauderdale</v>
      </c>
      <c r="K776" t="str">
        <f>INDEX(products!$A$1:$G$49,MATCH(orders!$D776,products!$A$1:$A$49,0),MATCH(orders!K$1,products!$A$1:$G$1,0))</f>
        <v>Rob</v>
      </c>
      <c r="L776" t="str">
        <f>INDEX(products!$A$1:$G$49,MATCH(orders!$D776,products!$A$1:$A$49,0),MATCH(orders!L$1,products!$A$1:$G$1,0))</f>
        <v>M</v>
      </c>
      <c r="M776" s="14">
        <f>INDEX(products!$A$1:$G$49,MATCH(orders!$D776,products!$A$1:$A$49,0),MATCH(orders!M$1,products!$A$1:$G$1,0))</f>
        <v>1</v>
      </c>
      <c r="N776" s="4">
        <f>INDEX(products!$A$1:$G$49,MATCH(orders!$D776,products!$A$1:$A$49,0),MATCH(orders!N$1,products!$A$1:$G$1,0))</f>
        <v>9.9499999999999993</v>
      </c>
      <c r="O776" s="13">
        <f t="shared" si="60"/>
        <v>19.899999999999999</v>
      </c>
      <c r="P776" s="13">
        <f>_xlfn.XLOOKUP(Orders[[#This Row],[Product ID]],products!$A$1:$A$49,products!$G$1:$G$49,,0)</f>
        <v>0.59699999999999998</v>
      </c>
      <c r="Q776" s="13">
        <f t="shared" si="61"/>
        <v>1.194</v>
      </c>
      <c r="R776" t="str">
        <f t="shared" si="63"/>
        <v>Robusta</v>
      </c>
      <c r="S776" t="str">
        <f t="shared" si="64"/>
        <v>Medium</v>
      </c>
      <c r="T776" t="str">
        <f>_xlfn.XLOOKUP(Orders[[#This Row],[Customer ID]],customers!$A$1:$A$1001,customers!$I$1:$I$1001,,0)</f>
        <v>Yes</v>
      </c>
    </row>
    <row r="777" spans="1:20" x14ac:dyDescent="0.35">
      <c r="A777" s="2" t="s">
        <v>4869</v>
      </c>
      <c r="B777" s="3">
        <v>44396</v>
      </c>
      <c r="C777" s="2" t="s">
        <v>4870</v>
      </c>
      <c r="D777" t="s">
        <v>6176</v>
      </c>
      <c r="E777" t="str">
        <f t="shared" si="62"/>
        <v>Excelsa-Light-0.5</v>
      </c>
      <c r="F777" s="2">
        <v>2</v>
      </c>
      <c r="G777" s="2" t="str" cm="1">
        <f t="array" ref="G777">_xlfn.XLOOKUP(C777, customers!$A$1:A1776,customers!$B$1:B1776,,0)</f>
        <v>Rhetta Elnaugh</v>
      </c>
      <c r="H777" s="2" t="str" cm="1">
        <f t="array" ref="H777">IF(_xlfn.XLOOKUP(C777,customers!$A$1:A1776,customers!$C$1:C1776,,0) = 0,"", _xlfn.XLOOKUP(C777,customers!$A$1:A1776,customers!$C$1:C1776,,0))</f>
        <v>relnaughlj@comsenz.com</v>
      </c>
      <c r="I777" s="2" t="str">
        <f>_xlfn.XLOOKUP(C777,customers!$A$1:$A$1001,customers!$G$1:$G$1001,,0)</f>
        <v>United States</v>
      </c>
      <c r="J777" s="2" t="str">
        <f>_xlfn.XLOOKUP(Orders[[#This Row],[Customer ID]],customers!$A$1:$A$1001,customers!$F$1:$F$1001,,0)</f>
        <v>San Diego</v>
      </c>
      <c r="K777" t="str">
        <f>INDEX(products!$A$1:$G$49,MATCH(orders!$D777,products!$A$1:$A$49,0),MATCH(orders!K$1,products!$A$1:$G$1,0))</f>
        <v>Exc</v>
      </c>
      <c r="L777" t="str">
        <f>INDEX(products!$A$1:$G$49,MATCH(orders!$D777,products!$A$1:$A$49,0),MATCH(orders!L$1,products!$A$1:$G$1,0))</f>
        <v>L</v>
      </c>
      <c r="M777" s="14">
        <f>INDEX(products!$A$1:$G$49,MATCH(orders!$D777,products!$A$1:$A$49,0),MATCH(orders!M$1,products!$A$1:$G$1,0))</f>
        <v>0.5</v>
      </c>
      <c r="N777" s="4">
        <f>INDEX(products!$A$1:$G$49,MATCH(orders!$D777,products!$A$1:$A$49,0),MATCH(orders!N$1,products!$A$1:$G$1,0))</f>
        <v>8.91</v>
      </c>
      <c r="O777" s="13">
        <f t="shared" si="60"/>
        <v>17.82</v>
      </c>
      <c r="P777" s="13">
        <f>_xlfn.XLOOKUP(Orders[[#This Row],[Product ID]],products!$A$1:$A$49,products!$G$1:$G$49,,0)</f>
        <v>0.98009999999999997</v>
      </c>
      <c r="Q777" s="13">
        <f t="shared" si="61"/>
        <v>1.9601999999999999</v>
      </c>
      <c r="R777" t="str">
        <f t="shared" si="63"/>
        <v>Execelsa</v>
      </c>
      <c r="S777" t="str">
        <f t="shared" si="64"/>
        <v>Light</v>
      </c>
      <c r="T777" t="str">
        <f>_xlfn.XLOOKUP(Orders[[#This Row],[Customer ID]],customers!$A$1:$A$1001,customers!$I$1:$I$1001,,0)</f>
        <v>Yes</v>
      </c>
    </row>
    <row r="778" spans="1:20" x14ac:dyDescent="0.35">
      <c r="A778" s="2" t="s">
        <v>4875</v>
      </c>
      <c r="B778" s="3">
        <v>44540</v>
      </c>
      <c r="C778" s="2" t="s">
        <v>4876</v>
      </c>
      <c r="D778" t="s">
        <v>6157</v>
      </c>
      <c r="E778" t="str">
        <f t="shared" si="62"/>
        <v>Arabica-Medium-0.5</v>
      </c>
      <c r="F778" s="2">
        <v>3</v>
      </c>
      <c r="G778" s="2" t="str" cm="1">
        <f t="array" ref="G778">_xlfn.XLOOKUP(C778, customers!$A$1:A1777,customers!$B$1:B1777,,0)</f>
        <v>Jule Deehan</v>
      </c>
      <c r="H778" s="2" t="str" cm="1">
        <f t="array" ref="H778">IF(_xlfn.XLOOKUP(C778,customers!$A$1:A1777,customers!$C$1:C1777,,0) = 0,"", _xlfn.XLOOKUP(C778,customers!$A$1:A1777,customers!$C$1:C1777,,0))</f>
        <v>jdeehanlk@about.me</v>
      </c>
      <c r="I778" s="2" t="str">
        <f>_xlfn.XLOOKUP(C778,customers!$A$1:$A$1001,customers!$G$1:$G$1001,,0)</f>
        <v>United States</v>
      </c>
      <c r="J778" s="2" t="str">
        <f>_xlfn.XLOOKUP(Orders[[#This Row],[Customer ID]],customers!$A$1:$A$1001,customers!$F$1:$F$1001,,0)</f>
        <v>Dallas</v>
      </c>
      <c r="K778" t="str">
        <f>INDEX(products!$A$1:$G$49,MATCH(orders!$D778,products!$A$1:$A$49,0),MATCH(orders!K$1,products!$A$1:$G$1,0))</f>
        <v>Ara</v>
      </c>
      <c r="L778" t="str">
        <f>INDEX(products!$A$1:$G$49,MATCH(orders!$D778,products!$A$1:$A$49,0),MATCH(orders!L$1,products!$A$1:$G$1,0))</f>
        <v>M</v>
      </c>
      <c r="M778" s="14">
        <f>INDEX(products!$A$1:$G$49,MATCH(orders!$D778,products!$A$1:$A$49,0),MATCH(orders!M$1,products!$A$1:$G$1,0))</f>
        <v>0.5</v>
      </c>
      <c r="N778" s="4">
        <f>INDEX(products!$A$1:$G$49,MATCH(orders!$D778,products!$A$1:$A$49,0),MATCH(orders!N$1,products!$A$1:$G$1,0))</f>
        <v>6.75</v>
      </c>
      <c r="O778" s="13">
        <f t="shared" si="60"/>
        <v>20.25</v>
      </c>
      <c r="P778" s="13">
        <f>_xlfn.XLOOKUP(Orders[[#This Row],[Product ID]],products!$A$1:$A$49,products!$G$1:$G$49,,0)</f>
        <v>0.60749999999999993</v>
      </c>
      <c r="Q778" s="13">
        <f t="shared" si="61"/>
        <v>1.8224999999999998</v>
      </c>
      <c r="R778" t="str">
        <f t="shared" si="63"/>
        <v>Arabica</v>
      </c>
      <c r="S778" t="str">
        <f t="shared" si="64"/>
        <v>Medium</v>
      </c>
      <c r="T778" t="str">
        <f>_xlfn.XLOOKUP(Orders[[#This Row],[Customer ID]],customers!$A$1:$A$1001,customers!$I$1:$I$1001,,0)</f>
        <v>No</v>
      </c>
    </row>
    <row r="779" spans="1:20" x14ac:dyDescent="0.35">
      <c r="A779" s="2" t="s">
        <v>4881</v>
      </c>
      <c r="B779" s="3">
        <v>43541</v>
      </c>
      <c r="C779" s="2" t="s">
        <v>4882</v>
      </c>
      <c r="D779" t="s">
        <v>6182</v>
      </c>
      <c r="E779" t="str">
        <f t="shared" si="62"/>
        <v>Arabica-Light-2.5</v>
      </c>
      <c r="F779" s="2">
        <v>2</v>
      </c>
      <c r="G779" s="2" t="str" cm="1">
        <f t="array" ref="G779">_xlfn.XLOOKUP(C779, customers!$A$1:A1778,customers!$B$1:B1778,,0)</f>
        <v>Janella Eden</v>
      </c>
      <c r="H779" s="2" t="str" cm="1">
        <f t="array" ref="H779">IF(_xlfn.XLOOKUP(C779,customers!$A$1:A1778,customers!$C$1:C1778,,0) = 0,"", _xlfn.XLOOKUP(C779,customers!$A$1:A1778,customers!$C$1:C1778,,0))</f>
        <v>jedenll@e-recht24.de</v>
      </c>
      <c r="I779" s="2" t="str">
        <f>_xlfn.XLOOKUP(C779,customers!$A$1:$A$1001,customers!$G$1:$G$1001,,0)</f>
        <v>United States</v>
      </c>
      <c r="J779" s="2" t="str">
        <f>_xlfn.XLOOKUP(Orders[[#This Row],[Customer ID]],customers!$A$1:$A$1001,customers!$F$1:$F$1001,,0)</f>
        <v>Joliet</v>
      </c>
      <c r="K779" t="str">
        <f>INDEX(products!$A$1:$G$49,MATCH(orders!$D779,products!$A$1:$A$49,0),MATCH(orders!K$1,products!$A$1:$G$1,0))</f>
        <v>Ara</v>
      </c>
      <c r="L779" t="str">
        <f>INDEX(products!$A$1:$G$49,MATCH(orders!$D779,products!$A$1:$A$49,0),MATCH(orders!L$1,products!$A$1:$G$1,0))</f>
        <v>L</v>
      </c>
      <c r="M779" s="14">
        <f>INDEX(products!$A$1:$G$49,MATCH(orders!$D779,products!$A$1:$A$49,0),MATCH(orders!M$1,products!$A$1:$G$1,0))</f>
        <v>2.5</v>
      </c>
      <c r="N779" s="4">
        <f>INDEX(products!$A$1:$G$49,MATCH(orders!$D779,products!$A$1:$A$49,0),MATCH(orders!N$1,products!$A$1:$G$1,0))</f>
        <v>29.784999999999997</v>
      </c>
      <c r="O779" s="13">
        <f t="shared" si="60"/>
        <v>59.569999999999993</v>
      </c>
      <c r="P779" s="13">
        <f>_xlfn.XLOOKUP(Orders[[#This Row],[Product ID]],products!$A$1:$A$49,products!$G$1:$G$49,,0)</f>
        <v>2.6806499999999995</v>
      </c>
      <c r="Q779" s="13">
        <f t="shared" si="61"/>
        <v>5.3612999999999991</v>
      </c>
      <c r="R779" t="str">
        <f t="shared" si="63"/>
        <v>Arabica</v>
      </c>
      <c r="S779" t="str">
        <f t="shared" si="64"/>
        <v>Light</v>
      </c>
      <c r="T779" t="str">
        <f>_xlfn.XLOOKUP(Orders[[#This Row],[Customer ID]],customers!$A$1:$A$1001,customers!$I$1:$I$1001,,0)</f>
        <v>No</v>
      </c>
    </row>
    <row r="780" spans="1:20" x14ac:dyDescent="0.35">
      <c r="A780" s="2" t="s">
        <v>4886</v>
      </c>
      <c r="B780" s="3">
        <v>43889</v>
      </c>
      <c r="C780" s="2" t="s">
        <v>4933</v>
      </c>
      <c r="D780" t="s">
        <v>6161</v>
      </c>
      <c r="E780" t="str">
        <f t="shared" si="62"/>
        <v>Liberica-Light-0.5</v>
      </c>
      <c r="F780" s="2">
        <v>2</v>
      </c>
      <c r="G780" s="2" t="str" cm="1">
        <f t="array" ref="G780">_xlfn.XLOOKUP(C780, customers!$A$1:A1779,customers!$B$1:B1779,,0)</f>
        <v>Cam Jewster</v>
      </c>
      <c r="H780" s="2" t="str" cm="1">
        <f t="array" ref="H780">IF(_xlfn.XLOOKUP(C780,customers!$A$1:A1779,customers!$C$1:C1779,,0) = 0,"", _xlfn.XLOOKUP(C780,customers!$A$1:A1779,customers!$C$1:C1779,,0))</f>
        <v>cjewsterlu@moonfruit.com</v>
      </c>
      <c r="I780" s="2" t="str">
        <f>_xlfn.XLOOKUP(C780,customers!$A$1:$A$1001,customers!$G$1:$G$1001,,0)</f>
        <v>United States</v>
      </c>
      <c r="J780" s="2" t="str">
        <f>_xlfn.XLOOKUP(Orders[[#This Row],[Customer ID]],customers!$A$1:$A$1001,customers!$F$1:$F$1001,,0)</f>
        <v>Dayton</v>
      </c>
      <c r="K780" t="str">
        <f>INDEX(products!$A$1:$G$49,MATCH(orders!$D780,products!$A$1:$A$49,0),MATCH(orders!K$1,products!$A$1:$G$1,0))</f>
        <v>Lib</v>
      </c>
      <c r="L780" t="str">
        <f>INDEX(products!$A$1:$G$49,MATCH(orders!$D780,products!$A$1:$A$49,0),MATCH(orders!L$1,products!$A$1:$G$1,0))</f>
        <v>L</v>
      </c>
      <c r="M780" s="14">
        <f>INDEX(products!$A$1:$G$49,MATCH(orders!$D780,products!$A$1:$A$49,0),MATCH(orders!M$1,products!$A$1:$G$1,0))</f>
        <v>0.5</v>
      </c>
      <c r="N780" s="4">
        <f>INDEX(products!$A$1:$G$49,MATCH(orders!$D780,products!$A$1:$A$49,0),MATCH(orders!N$1,products!$A$1:$G$1,0))</f>
        <v>9.51</v>
      </c>
      <c r="O780" s="13">
        <f t="shared" si="60"/>
        <v>19.02</v>
      </c>
      <c r="P780" s="13">
        <f>_xlfn.XLOOKUP(Orders[[#This Row],[Product ID]],products!$A$1:$A$49,products!$G$1:$G$49,,0)</f>
        <v>1.2363</v>
      </c>
      <c r="Q780" s="13">
        <f t="shared" si="61"/>
        <v>2.4725999999999999</v>
      </c>
      <c r="R780" t="str">
        <f t="shared" si="63"/>
        <v>Liberica</v>
      </c>
      <c r="S780" t="str">
        <f t="shared" si="64"/>
        <v>Light</v>
      </c>
      <c r="T780" t="str">
        <f>_xlfn.XLOOKUP(Orders[[#This Row],[Customer ID]],customers!$A$1:$A$1001,customers!$I$1:$I$1001,,0)</f>
        <v>Yes</v>
      </c>
    </row>
    <row r="781" spans="1:20" x14ac:dyDescent="0.35">
      <c r="A781" s="2" t="s">
        <v>4892</v>
      </c>
      <c r="B781" s="3">
        <v>43985</v>
      </c>
      <c r="C781" s="2" t="s">
        <v>4893</v>
      </c>
      <c r="D781" t="s">
        <v>6143</v>
      </c>
      <c r="E781" t="str">
        <f t="shared" si="62"/>
        <v>Liberica-Dark-1</v>
      </c>
      <c r="F781" s="2">
        <v>6</v>
      </c>
      <c r="G781" s="2" t="str" cm="1">
        <f t="array" ref="G781">_xlfn.XLOOKUP(C781, customers!$A$1:A1780,customers!$B$1:B1780,,0)</f>
        <v>Ugo Southerden</v>
      </c>
      <c r="H781" s="2" t="str" cm="1">
        <f t="array" ref="H781">IF(_xlfn.XLOOKUP(C781,customers!$A$1:A1780,customers!$C$1:C1780,,0) = 0,"", _xlfn.XLOOKUP(C781,customers!$A$1:A1780,customers!$C$1:C1780,,0))</f>
        <v>usoutherdenln@hao123.com</v>
      </c>
      <c r="I781" s="2" t="str">
        <f>_xlfn.XLOOKUP(C781,customers!$A$1:$A$1001,customers!$G$1:$G$1001,,0)</f>
        <v>United States</v>
      </c>
      <c r="J781" s="2" t="str">
        <f>_xlfn.XLOOKUP(Orders[[#This Row],[Customer ID]],customers!$A$1:$A$1001,customers!$F$1:$F$1001,,0)</f>
        <v>Clearwater</v>
      </c>
      <c r="K781" t="str">
        <f>INDEX(products!$A$1:$G$49,MATCH(orders!$D781,products!$A$1:$A$49,0),MATCH(orders!K$1,products!$A$1:$G$1,0))</f>
        <v>Lib</v>
      </c>
      <c r="L781" t="str">
        <f>INDEX(products!$A$1:$G$49,MATCH(orders!$D781,products!$A$1:$A$49,0),MATCH(orders!L$1,products!$A$1:$G$1,0))</f>
        <v>D</v>
      </c>
      <c r="M781" s="14">
        <f>INDEX(products!$A$1:$G$49,MATCH(orders!$D781,products!$A$1:$A$49,0),MATCH(orders!M$1,products!$A$1:$G$1,0))</f>
        <v>1</v>
      </c>
      <c r="N781" s="4">
        <f>INDEX(products!$A$1:$G$49,MATCH(orders!$D781,products!$A$1:$A$49,0),MATCH(orders!N$1,products!$A$1:$G$1,0))</f>
        <v>12.95</v>
      </c>
      <c r="O781" s="13">
        <f t="shared" si="60"/>
        <v>77.699999999999989</v>
      </c>
      <c r="P781" s="13">
        <f>_xlfn.XLOOKUP(Orders[[#This Row],[Product ID]],products!$A$1:$A$49,products!$G$1:$G$49,,0)</f>
        <v>1.6835</v>
      </c>
      <c r="Q781" s="13">
        <f t="shared" si="61"/>
        <v>10.100999999999999</v>
      </c>
      <c r="R781" t="str">
        <f t="shared" si="63"/>
        <v>Liberica</v>
      </c>
      <c r="S781" t="str">
        <f t="shared" si="64"/>
        <v>Dark</v>
      </c>
      <c r="T781" t="str">
        <f>_xlfn.XLOOKUP(Orders[[#This Row],[Customer ID]],customers!$A$1:$A$1001,customers!$I$1:$I$1001,,0)</f>
        <v>Yes</v>
      </c>
    </row>
    <row r="782" spans="1:20" x14ac:dyDescent="0.35">
      <c r="A782" s="2" t="s">
        <v>4898</v>
      </c>
      <c r="B782" s="3">
        <v>43883</v>
      </c>
      <c r="C782" s="2" t="s">
        <v>4899</v>
      </c>
      <c r="D782" t="s">
        <v>6141</v>
      </c>
      <c r="E782" t="str">
        <f t="shared" si="62"/>
        <v>Excelsa-Medium-1</v>
      </c>
      <c r="F782" s="2">
        <v>3</v>
      </c>
      <c r="G782" s="2" t="str" cm="1">
        <f t="array" ref="G782">_xlfn.XLOOKUP(C782, customers!$A$1:A1781,customers!$B$1:B1781,,0)</f>
        <v>Verne Dunkerley</v>
      </c>
      <c r="H782" s="2" t="str" cm="1">
        <f t="array" ref="H782">IF(_xlfn.XLOOKUP(C782,customers!$A$1:A1781,customers!$C$1:C1781,,0) = 0,"", _xlfn.XLOOKUP(C782,customers!$A$1:A1781,customers!$C$1:C1781,,0))</f>
        <v/>
      </c>
      <c r="I782" s="2" t="str">
        <f>_xlfn.XLOOKUP(C782,customers!$A$1:$A$1001,customers!$G$1:$G$1001,,0)</f>
        <v>United States</v>
      </c>
      <c r="J782" s="2" t="str">
        <f>_xlfn.XLOOKUP(Orders[[#This Row],[Customer ID]],customers!$A$1:$A$1001,customers!$F$1:$F$1001,,0)</f>
        <v>Minneapolis</v>
      </c>
      <c r="K782" t="str">
        <f>INDEX(products!$A$1:$G$49,MATCH(orders!$D782,products!$A$1:$A$49,0),MATCH(orders!K$1,products!$A$1:$G$1,0))</f>
        <v>Exc</v>
      </c>
      <c r="L782" t="str">
        <f>INDEX(products!$A$1:$G$49,MATCH(orders!$D782,products!$A$1:$A$49,0),MATCH(orders!L$1,products!$A$1:$G$1,0))</f>
        <v>M</v>
      </c>
      <c r="M782" s="14">
        <f>INDEX(products!$A$1:$G$49,MATCH(orders!$D782,products!$A$1:$A$49,0),MATCH(orders!M$1,products!$A$1:$G$1,0))</f>
        <v>1</v>
      </c>
      <c r="N782" s="4">
        <f>INDEX(products!$A$1:$G$49,MATCH(orders!$D782,products!$A$1:$A$49,0),MATCH(orders!N$1,products!$A$1:$G$1,0))</f>
        <v>13.75</v>
      </c>
      <c r="O782" s="13">
        <f t="shared" si="60"/>
        <v>41.25</v>
      </c>
      <c r="P782" s="13">
        <f>_xlfn.XLOOKUP(Orders[[#This Row],[Product ID]],products!$A$1:$A$49,products!$G$1:$G$49,,0)</f>
        <v>1.5125</v>
      </c>
      <c r="Q782" s="13">
        <f t="shared" si="61"/>
        <v>4.5374999999999996</v>
      </c>
      <c r="R782" t="str">
        <f t="shared" si="63"/>
        <v>Execelsa</v>
      </c>
      <c r="S782" t="str">
        <f t="shared" si="64"/>
        <v>Medium</v>
      </c>
      <c r="T782" t="str">
        <f>_xlfn.XLOOKUP(Orders[[#This Row],[Customer ID]],customers!$A$1:$A$1001,customers!$I$1:$I$1001,,0)</f>
        <v>No</v>
      </c>
    </row>
    <row r="783" spans="1:20" x14ac:dyDescent="0.35">
      <c r="A783" s="2" t="s">
        <v>4903</v>
      </c>
      <c r="B783" s="3">
        <v>43778</v>
      </c>
      <c r="C783" s="2" t="s">
        <v>4904</v>
      </c>
      <c r="D783" t="s">
        <v>6164</v>
      </c>
      <c r="E783" t="str">
        <f t="shared" si="62"/>
        <v>Liberica-Light-2.5</v>
      </c>
      <c r="F783" s="2">
        <v>4</v>
      </c>
      <c r="G783" s="2" t="str" cm="1">
        <f t="array" ref="G783">_xlfn.XLOOKUP(C783, customers!$A$1:A1782,customers!$B$1:B1782,,0)</f>
        <v>Lacee Burtenshaw</v>
      </c>
      <c r="H783" s="2" t="str" cm="1">
        <f t="array" ref="H783">IF(_xlfn.XLOOKUP(C783,customers!$A$1:A1782,customers!$C$1:C1782,,0) = 0,"", _xlfn.XLOOKUP(C783,customers!$A$1:A1782,customers!$C$1:C1782,,0))</f>
        <v>lburtenshawlp@shinystat.com</v>
      </c>
      <c r="I783" s="2" t="str">
        <f>_xlfn.XLOOKUP(C783,customers!$A$1:$A$1001,customers!$G$1:$G$1001,,0)</f>
        <v>United States</v>
      </c>
      <c r="J783" s="2" t="str">
        <f>_xlfn.XLOOKUP(Orders[[#This Row],[Customer ID]],customers!$A$1:$A$1001,customers!$F$1:$F$1001,,0)</f>
        <v>Lawrenceville</v>
      </c>
      <c r="K783" t="str">
        <f>INDEX(products!$A$1:$G$49,MATCH(orders!$D783,products!$A$1:$A$49,0),MATCH(orders!K$1,products!$A$1:$G$1,0))</f>
        <v>Lib</v>
      </c>
      <c r="L783" t="str">
        <f>INDEX(products!$A$1:$G$49,MATCH(orders!$D783,products!$A$1:$A$49,0),MATCH(orders!L$1,products!$A$1:$G$1,0))</f>
        <v>L</v>
      </c>
      <c r="M783" s="14">
        <f>INDEX(products!$A$1:$G$49,MATCH(orders!$D783,products!$A$1:$A$49,0),MATCH(orders!M$1,products!$A$1:$G$1,0))</f>
        <v>2.5</v>
      </c>
      <c r="N783" s="4">
        <f>INDEX(products!$A$1:$G$49,MATCH(orders!$D783,products!$A$1:$A$49,0),MATCH(orders!N$1,products!$A$1:$G$1,0))</f>
        <v>36.454999999999998</v>
      </c>
      <c r="O783" s="13">
        <f t="shared" si="60"/>
        <v>145.82</v>
      </c>
      <c r="P783" s="13">
        <f>_xlfn.XLOOKUP(Orders[[#This Row],[Product ID]],products!$A$1:$A$49,products!$G$1:$G$49,,0)</f>
        <v>4.7391499999999995</v>
      </c>
      <c r="Q783" s="13">
        <f t="shared" si="61"/>
        <v>18.956599999999998</v>
      </c>
      <c r="R783" t="str">
        <f t="shared" si="63"/>
        <v>Liberica</v>
      </c>
      <c r="S783" t="str">
        <f t="shared" si="64"/>
        <v>Light</v>
      </c>
      <c r="T783" t="str">
        <f>_xlfn.XLOOKUP(Orders[[#This Row],[Customer ID]],customers!$A$1:$A$1001,customers!$I$1:$I$1001,,0)</f>
        <v>No</v>
      </c>
    </row>
    <row r="784" spans="1:20" x14ac:dyDescent="0.35">
      <c r="A784" s="2" t="s">
        <v>4909</v>
      </c>
      <c r="B784" s="3">
        <v>43897</v>
      </c>
      <c r="C784" s="2" t="s">
        <v>4910</v>
      </c>
      <c r="D784" t="s">
        <v>6184</v>
      </c>
      <c r="E784" t="str">
        <f t="shared" si="62"/>
        <v>Excelsa-Light-0.2</v>
      </c>
      <c r="F784" s="2">
        <v>6</v>
      </c>
      <c r="G784" s="2" t="str" cm="1">
        <f t="array" ref="G784">_xlfn.XLOOKUP(C784, customers!$A$1:A1783,customers!$B$1:B1783,,0)</f>
        <v>Adorne Gregoratti</v>
      </c>
      <c r="H784" s="2" t="str" cm="1">
        <f t="array" ref="H784">IF(_xlfn.XLOOKUP(C784,customers!$A$1:A1783,customers!$C$1:C1783,,0) = 0,"", _xlfn.XLOOKUP(C784,customers!$A$1:A1783,customers!$C$1:C1783,,0))</f>
        <v>agregorattilq@vistaprint.com</v>
      </c>
      <c r="I784" s="2" t="str">
        <f>_xlfn.XLOOKUP(C784,customers!$A$1:$A$1001,customers!$G$1:$G$1001,,0)</f>
        <v>Ireland</v>
      </c>
      <c r="J784" s="2" t="str">
        <f>_xlfn.XLOOKUP(Orders[[#This Row],[Customer ID]],customers!$A$1:$A$1001,customers!$F$1:$F$1001,,0)</f>
        <v>Malahide</v>
      </c>
      <c r="K784" t="str">
        <f>INDEX(products!$A$1:$G$49,MATCH(orders!$D784,products!$A$1:$A$49,0),MATCH(orders!K$1,products!$A$1:$G$1,0))</f>
        <v>Exc</v>
      </c>
      <c r="L784" t="str">
        <f>INDEX(products!$A$1:$G$49,MATCH(orders!$D784,products!$A$1:$A$49,0),MATCH(orders!L$1,products!$A$1:$G$1,0))</f>
        <v>L</v>
      </c>
      <c r="M784" s="14">
        <f>INDEX(products!$A$1:$G$49,MATCH(orders!$D784,products!$A$1:$A$49,0),MATCH(orders!M$1,products!$A$1:$G$1,0))</f>
        <v>0.2</v>
      </c>
      <c r="N784" s="4">
        <f>INDEX(products!$A$1:$G$49,MATCH(orders!$D784,products!$A$1:$A$49,0),MATCH(orders!N$1,products!$A$1:$G$1,0))</f>
        <v>4.4550000000000001</v>
      </c>
      <c r="O784" s="13">
        <f t="shared" si="60"/>
        <v>26.73</v>
      </c>
      <c r="P784" s="13">
        <f>_xlfn.XLOOKUP(Orders[[#This Row],[Product ID]],products!$A$1:$A$49,products!$G$1:$G$49,,0)</f>
        <v>0.49004999999999999</v>
      </c>
      <c r="Q784" s="13">
        <f t="shared" si="61"/>
        <v>2.9402999999999997</v>
      </c>
      <c r="R784" t="str">
        <f t="shared" si="63"/>
        <v>Execelsa</v>
      </c>
      <c r="S784" t="str">
        <f t="shared" si="64"/>
        <v>Light</v>
      </c>
      <c r="T784" t="str">
        <f>_xlfn.XLOOKUP(Orders[[#This Row],[Customer ID]],customers!$A$1:$A$1001,customers!$I$1:$I$1001,,0)</f>
        <v>No</v>
      </c>
    </row>
    <row r="785" spans="1:20" x14ac:dyDescent="0.35">
      <c r="A785" s="2" t="s">
        <v>4915</v>
      </c>
      <c r="B785" s="3">
        <v>44312</v>
      </c>
      <c r="C785" s="2" t="s">
        <v>4916</v>
      </c>
      <c r="D785" t="s">
        <v>6160</v>
      </c>
      <c r="E785" t="str">
        <f t="shared" si="62"/>
        <v>Liberica-Medium-0.5</v>
      </c>
      <c r="F785" s="2">
        <v>5</v>
      </c>
      <c r="G785" s="2" t="str" cm="1">
        <f t="array" ref="G785">_xlfn.XLOOKUP(C785, customers!$A$1:A1784,customers!$B$1:B1784,,0)</f>
        <v>Chris Croster</v>
      </c>
      <c r="H785" s="2" t="str" cm="1">
        <f t="array" ref="H785">IF(_xlfn.XLOOKUP(C785,customers!$A$1:A1784,customers!$C$1:C1784,,0) = 0,"", _xlfn.XLOOKUP(C785,customers!$A$1:A1784,customers!$C$1:C1784,,0))</f>
        <v>ccrosterlr@gov.uk</v>
      </c>
      <c r="I785" s="2" t="str">
        <f>_xlfn.XLOOKUP(C785,customers!$A$1:$A$1001,customers!$G$1:$G$1001,,0)</f>
        <v>United States</v>
      </c>
      <c r="J785" s="2" t="str">
        <f>_xlfn.XLOOKUP(Orders[[#This Row],[Customer ID]],customers!$A$1:$A$1001,customers!$F$1:$F$1001,,0)</f>
        <v>Tampa</v>
      </c>
      <c r="K785" t="str">
        <f>INDEX(products!$A$1:$G$49,MATCH(orders!$D785,products!$A$1:$A$49,0),MATCH(orders!K$1,products!$A$1:$G$1,0))</f>
        <v>Lib</v>
      </c>
      <c r="L785" t="str">
        <f>INDEX(products!$A$1:$G$49,MATCH(orders!$D785,products!$A$1:$A$49,0),MATCH(orders!L$1,products!$A$1:$G$1,0))</f>
        <v>M</v>
      </c>
      <c r="M785" s="14">
        <f>INDEX(products!$A$1:$G$49,MATCH(orders!$D785,products!$A$1:$A$49,0),MATCH(orders!M$1,products!$A$1:$G$1,0))</f>
        <v>0.5</v>
      </c>
      <c r="N785" s="4">
        <f>INDEX(products!$A$1:$G$49,MATCH(orders!$D785,products!$A$1:$A$49,0),MATCH(orders!N$1,products!$A$1:$G$1,0))</f>
        <v>8.73</v>
      </c>
      <c r="O785" s="13">
        <f t="shared" si="60"/>
        <v>43.650000000000006</v>
      </c>
      <c r="P785" s="13">
        <f>_xlfn.XLOOKUP(Orders[[#This Row],[Product ID]],products!$A$1:$A$49,products!$G$1:$G$49,,0)</f>
        <v>1.1349</v>
      </c>
      <c r="Q785" s="13">
        <f t="shared" si="61"/>
        <v>5.6745000000000001</v>
      </c>
      <c r="R785" t="str">
        <f t="shared" si="63"/>
        <v>Liberica</v>
      </c>
      <c r="S785" t="str">
        <f t="shared" si="64"/>
        <v>Medium</v>
      </c>
      <c r="T785" t="str">
        <f>_xlfn.XLOOKUP(Orders[[#This Row],[Customer ID]],customers!$A$1:$A$1001,customers!$I$1:$I$1001,,0)</f>
        <v>Yes</v>
      </c>
    </row>
    <row r="786" spans="1:20" x14ac:dyDescent="0.35">
      <c r="A786" s="2" t="s">
        <v>4921</v>
      </c>
      <c r="B786" s="3">
        <v>44511</v>
      </c>
      <c r="C786" s="2" t="s">
        <v>4922</v>
      </c>
      <c r="D786" t="s">
        <v>6170</v>
      </c>
      <c r="E786" t="str">
        <f t="shared" si="62"/>
        <v>Liberica-Light-1</v>
      </c>
      <c r="F786" s="2">
        <v>2</v>
      </c>
      <c r="G786" s="2" t="str" cm="1">
        <f t="array" ref="G786">_xlfn.XLOOKUP(C786, customers!$A$1:A1785,customers!$B$1:B1785,,0)</f>
        <v>Graeme Whitehead</v>
      </c>
      <c r="H786" s="2" t="str" cm="1">
        <f t="array" ref="H786">IF(_xlfn.XLOOKUP(C786,customers!$A$1:A1785,customers!$C$1:C1785,,0) = 0,"", _xlfn.XLOOKUP(C786,customers!$A$1:A1785,customers!$C$1:C1785,,0))</f>
        <v>gwhiteheadls@hp.com</v>
      </c>
      <c r="I786" s="2" t="str">
        <f>_xlfn.XLOOKUP(C786,customers!$A$1:$A$1001,customers!$G$1:$G$1001,,0)</f>
        <v>United States</v>
      </c>
      <c r="J786" s="2" t="str">
        <f>_xlfn.XLOOKUP(Orders[[#This Row],[Customer ID]],customers!$A$1:$A$1001,customers!$F$1:$F$1001,,0)</f>
        <v>Nashville</v>
      </c>
      <c r="K786" t="str">
        <f>INDEX(products!$A$1:$G$49,MATCH(orders!$D786,products!$A$1:$A$49,0),MATCH(orders!K$1,products!$A$1:$G$1,0))</f>
        <v>Lib</v>
      </c>
      <c r="L786" t="str">
        <f>INDEX(products!$A$1:$G$49,MATCH(orders!$D786,products!$A$1:$A$49,0),MATCH(orders!L$1,products!$A$1:$G$1,0))</f>
        <v>L</v>
      </c>
      <c r="M786" s="14">
        <f>INDEX(products!$A$1:$G$49,MATCH(orders!$D786,products!$A$1:$A$49,0),MATCH(orders!M$1,products!$A$1:$G$1,0))</f>
        <v>1</v>
      </c>
      <c r="N786" s="4">
        <f>INDEX(products!$A$1:$G$49,MATCH(orders!$D786,products!$A$1:$A$49,0),MATCH(orders!N$1,products!$A$1:$G$1,0))</f>
        <v>15.85</v>
      </c>
      <c r="O786" s="13">
        <f t="shared" si="60"/>
        <v>31.7</v>
      </c>
      <c r="P786" s="13">
        <f>_xlfn.XLOOKUP(Orders[[#This Row],[Product ID]],products!$A$1:$A$49,products!$G$1:$G$49,,0)</f>
        <v>2.0605000000000002</v>
      </c>
      <c r="Q786" s="13">
        <f t="shared" si="61"/>
        <v>4.1210000000000004</v>
      </c>
      <c r="R786" t="str">
        <f t="shared" si="63"/>
        <v>Liberica</v>
      </c>
      <c r="S786" t="str">
        <f t="shared" si="64"/>
        <v>Light</v>
      </c>
      <c r="T786" t="str">
        <f>_xlfn.XLOOKUP(Orders[[#This Row],[Customer ID]],customers!$A$1:$A$1001,customers!$I$1:$I$1001,,0)</f>
        <v>No</v>
      </c>
    </row>
    <row r="787" spans="1:20" x14ac:dyDescent="0.35">
      <c r="A787" s="2" t="s">
        <v>4926</v>
      </c>
      <c r="B787" s="3">
        <v>44362</v>
      </c>
      <c r="C787" s="2" t="s">
        <v>4927</v>
      </c>
      <c r="D787" t="s">
        <v>6168</v>
      </c>
      <c r="E787" t="str">
        <f t="shared" si="62"/>
        <v>Arabica-Dark-2.5</v>
      </c>
      <c r="F787" s="2">
        <v>1</v>
      </c>
      <c r="G787" s="2" t="str" cm="1">
        <f t="array" ref="G787">_xlfn.XLOOKUP(C787, customers!$A$1:A1786,customers!$B$1:B1786,,0)</f>
        <v>Haslett Jodrelle</v>
      </c>
      <c r="H787" s="2" t="str" cm="1">
        <f t="array" ref="H787">IF(_xlfn.XLOOKUP(C787,customers!$A$1:A1786,customers!$C$1:C1786,,0) = 0,"", _xlfn.XLOOKUP(C787,customers!$A$1:A1786,customers!$C$1:C1786,,0))</f>
        <v>hjodrellelt@samsung.com</v>
      </c>
      <c r="I787" s="2" t="str">
        <f>_xlfn.XLOOKUP(C787,customers!$A$1:$A$1001,customers!$G$1:$G$1001,,0)</f>
        <v>United States</v>
      </c>
      <c r="J787" s="2" t="str">
        <f>_xlfn.XLOOKUP(Orders[[#This Row],[Customer ID]],customers!$A$1:$A$1001,customers!$F$1:$F$1001,,0)</f>
        <v>Miami</v>
      </c>
      <c r="K787" t="str">
        <f>INDEX(products!$A$1:$G$49,MATCH(orders!$D787,products!$A$1:$A$49,0),MATCH(orders!K$1,products!$A$1:$G$1,0))</f>
        <v>Ara</v>
      </c>
      <c r="L787" t="str">
        <f>INDEX(products!$A$1:$G$49,MATCH(orders!$D787,products!$A$1:$A$49,0),MATCH(orders!L$1,products!$A$1:$G$1,0))</f>
        <v>D</v>
      </c>
      <c r="M787" s="14">
        <f>INDEX(products!$A$1:$G$49,MATCH(orders!$D787,products!$A$1:$A$49,0),MATCH(orders!M$1,products!$A$1:$G$1,0))</f>
        <v>2.5</v>
      </c>
      <c r="N787" s="4">
        <f>INDEX(products!$A$1:$G$49,MATCH(orders!$D787,products!$A$1:$A$49,0),MATCH(orders!N$1,products!$A$1:$G$1,0))</f>
        <v>22.884999999999998</v>
      </c>
      <c r="O787" s="13">
        <f t="shared" si="60"/>
        <v>22.884999999999998</v>
      </c>
      <c r="P787" s="13">
        <f>_xlfn.XLOOKUP(Orders[[#This Row],[Product ID]],products!$A$1:$A$49,products!$G$1:$G$49,,0)</f>
        <v>2.0596499999999995</v>
      </c>
      <c r="Q787" s="13">
        <f t="shared" si="61"/>
        <v>2.0596499999999995</v>
      </c>
      <c r="R787" t="str">
        <f t="shared" si="63"/>
        <v>Arabica</v>
      </c>
      <c r="S787" t="str">
        <f t="shared" si="64"/>
        <v>Dark</v>
      </c>
      <c r="T787" t="str">
        <f>_xlfn.XLOOKUP(Orders[[#This Row],[Customer ID]],customers!$A$1:$A$1001,customers!$I$1:$I$1001,,0)</f>
        <v>No</v>
      </c>
    </row>
    <row r="788" spans="1:20" x14ac:dyDescent="0.35">
      <c r="A788" s="2" t="s">
        <v>4932</v>
      </c>
      <c r="B788" s="3">
        <v>43888</v>
      </c>
      <c r="C788" s="2" t="s">
        <v>4933</v>
      </c>
      <c r="D788" t="s">
        <v>6185</v>
      </c>
      <c r="E788" t="str">
        <f t="shared" si="62"/>
        <v>Excelsa-Dark-2.5</v>
      </c>
      <c r="F788" s="2">
        <v>1</v>
      </c>
      <c r="G788" s="2" t="str" cm="1">
        <f t="array" ref="G788">_xlfn.XLOOKUP(C788, customers!$A$1:A1787,customers!$B$1:B1787,,0)</f>
        <v>Cam Jewster</v>
      </c>
      <c r="H788" s="2" t="str" cm="1">
        <f t="array" ref="H788">IF(_xlfn.XLOOKUP(C788,customers!$A$1:A1787,customers!$C$1:C1787,,0) = 0,"", _xlfn.XLOOKUP(C788,customers!$A$1:A1787,customers!$C$1:C1787,,0))</f>
        <v>cjewsterlu@moonfruit.com</v>
      </c>
      <c r="I788" s="2" t="str">
        <f>_xlfn.XLOOKUP(C788,customers!$A$1:$A$1001,customers!$G$1:$G$1001,,0)</f>
        <v>United States</v>
      </c>
      <c r="J788" s="2" t="str">
        <f>_xlfn.XLOOKUP(Orders[[#This Row],[Customer ID]],customers!$A$1:$A$1001,customers!$F$1:$F$1001,,0)</f>
        <v>Dayton</v>
      </c>
      <c r="K788" t="str">
        <f>INDEX(products!$A$1:$G$49,MATCH(orders!$D788,products!$A$1:$A$49,0),MATCH(orders!K$1,products!$A$1:$G$1,0))</f>
        <v>Exc</v>
      </c>
      <c r="L788" t="str">
        <f>INDEX(products!$A$1:$G$49,MATCH(orders!$D788,products!$A$1:$A$49,0),MATCH(orders!L$1,products!$A$1:$G$1,0))</f>
        <v>D</v>
      </c>
      <c r="M788" s="14">
        <f>INDEX(products!$A$1:$G$49,MATCH(orders!$D788,products!$A$1:$A$49,0),MATCH(orders!M$1,products!$A$1:$G$1,0))</f>
        <v>2.5</v>
      </c>
      <c r="N788" s="4">
        <f>INDEX(products!$A$1:$G$49,MATCH(orders!$D788,products!$A$1:$A$49,0),MATCH(orders!N$1,products!$A$1:$G$1,0))</f>
        <v>27.945</v>
      </c>
      <c r="O788" s="13">
        <f t="shared" si="60"/>
        <v>27.945</v>
      </c>
      <c r="P788" s="13">
        <f>_xlfn.XLOOKUP(Orders[[#This Row],[Product ID]],products!$A$1:$A$49,products!$G$1:$G$49,,0)</f>
        <v>3.07395</v>
      </c>
      <c r="Q788" s="13">
        <f t="shared" si="61"/>
        <v>3.07395</v>
      </c>
      <c r="R788" t="str">
        <f t="shared" si="63"/>
        <v>Execelsa</v>
      </c>
      <c r="S788" t="str">
        <f t="shared" si="64"/>
        <v>Dark</v>
      </c>
      <c r="T788" t="str">
        <f>_xlfn.XLOOKUP(Orders[[#This Row],[Customer ID]],customers!$A$1:$A$1001,customers!$I$1:$I$1001,,0)</f>
        <v>Yes</v>
      </c>
    </row>
    <row r="789" spans="1:20" x14ac:dyDescent="0.35">
      <c r="A789" s="2" t="s">
        <v>4938</v>
      </c>
      <c r="B789" s="3">
        <v>44305</v>
      </c>
      <c r="C789" s="2" t="s">
        <v>4939</v>
      </c>
      <c r="D789" t="s">
        <v>6141</v>
      </c>
      <c r="E789" t="str">
        <f t="shared" si="62"/>
        <v>Excelsa-Medium-1</v>
      </c>
      <c r="F789" s="2">
        <v>6</v>
      </c>
      <c r="G789" s="2" t="str" cm="1">
        <f t="array" ref="G789">_xlfn.XLOOKUP(C789, customers!$A$1:A1788,customers!$B$1:B1788,,0)</f>
        <v>Beryl Osborn</v>
      </c>
      <c r="H789" s="2" t="str" cm="1">
        <f t="array" ref="H789">IF(_xlfn.XLOOKUP(C789,customers!$A$1:A1788,customers!$C$1:C1788,,0) = 0,"", _xlfn.XLOOKUP(C789,customers!$A$1:A1788,customers!$C$1:C1788,,0))</f>
        <v/>
      </c>
      <c r="I789" s="2" t="str">
        <f>_xlfn.XLOOKUP(C789,customers!$A$1:$A$1001,customers!$G$1:$G$1001,,0)</f>
        <v>United States</v>
      </c>
      <c r="J789" s="2" t="str">
        <f>_xlfn.XLOOKUP(Orders[[#This Row],[Customer ID]],customers!$A$1:$A$1001,customers!$F$1:$F$1001,,0)</f>
        <v>Chicago</v>
      </c>
      <c r="K789" t="str">
        <f>INDEX(products!$A$1:$G$49,MATCH(orders!$D789,products!$A$1:$A$49,0),MATCH(orders!K$1,products!$A$1:$G$1,0))</f>
        <v>Exc</v>
      </c>
      <c r="L789" t="str">
        <f>INDEX(products!$A$1:$G$49,MATCH(orders!$D789,products!$A$1:$A$49,0),MATCH(orders!L$1,products!$A$1:$G$1,0))</f>
        <v>M</v>
      </c>
      <c r="M789" s="14">
        <f>INDEX(products!$A$1:$G$49,MATCH(orders!$D789,products!$A$1:$A$49,0),MATCH(orders!M$1,products!$A$1:$G$1,0))</f>
        <v>1</v>
      </c>
      <c r="N789" s="4">
        <f>INDEX(products!$A$1:$G$49,MATCH(orders!$D789,products!$A$1:$A$49,0),MATCH(orders!N$1,products!$A$1:$G$1,0))</f>
        <v>13.75</v>
      </c>
      <c r="O789" s="13">
        <f t="shared" si="60"/>
        <v>82.5</v>
      </c>
      <c r="P789" s="13">
        <f>_xlfn.XLOOKUP(Orders[[#This Row],[Product ID]],products!$A$1:$A$49,products!$G$1:$G$49,,0)</f>
        <v>1.5125</v>
      </c>
      <c r="Q789" s="13">
        <f t="shared" si="61"/>
        <v>9.0749999999999993</v>
      </c>
      <c r="R789" t="str">
        <f t="shared" si="63"/>
        <v>Execelsa</v>
      </c>
      <c r="S789" t="str">
        <f t="shared" si="64"/>
        <v>Medium</v>
      </c>
      <c r="T789" t="str">
        <f>_xlfn.XLOOKUP(Orders[[#This Row],[Customer ID]],customers!$A$1:$A$1001,customers!$I$1:$I$1001,,0)</f>
        <v>Yes</v>
      </c>
    </row>
    <row r="790" spans="1:20" x14ac:dyDescent="0.35">
      <c r="A790" s="2" t="s">
        <v>4943</v>
      </c>
      <c r="B790" s="3">
        <v>44771</v>
      </c>
      <c r="C790" s="2" t="s">
        <v>4944</v>
      </c>
      <c r="D790" t="s">
        <v>6151</v>
      </c>
      <c r="E790" t="str">
        <f t="shared" si="62"/>
        <v>Robusta-Medium-2.5</v>
      </c>
      <c r="F790" s="2">
        <v>2</v>
      </c>
      <c r="G790" s="2" t="str" cm="1">
        <f t="array" ref="G790">_xlfn.XLOOKUP(C790, customers!$A$1:A1789,customers!$B$1:B1789,,0)</f>
        <v>Kaela Nottram</v>
      </c>
      <c r="H790" s="2" t="str" cm="1">
        <f t="array" ref="H790">IF(_xlfn.XLOOKUP(C790,customers!$A$1:A1789,customers!$C$1:C1789,,0) = 0,"", _xlfn.XLOOKUP(C790,customers!$A$1:A1789,customers!$C$1:C1789,,0))</f>
        <v>knottramlw@odnoklassniki.ru</v>
      </c>
      <c r="I790" s="2" t="str">
        <f>_xlfn.XLOOKUP(C790,customers!$A$1:$A$1001,customers!$G$1:$G$1001,,0)</f>
        <v>Ireland</v>
      </c>
      <c r="J790" s="2" t="str">
        <f>_xlfn.XLOOKUP(Orders[[#This Row],[Customer ID]],customers!$A$1:$A$1001,customers!$F$1:$F$1001,,0)</f>
        <v>Arklow</v>
      </c>
      <c r="K790" t="str">
        <f>INDEX(products!$A$1:$G$49,MATCH(orders!$D790,products!$A$1:$A$49,0),MATCH(orders!K$1,products!$A$1:$G$1,0))</f>
        <v>Rob</v>
      </c>
      <c r="L790" t="str">
        <f>INDEX(products!$A$1:$G$49,MATCH(orders!$D790,products!$A$1:$A$49,0),MATCH(orders!L$1,products!$A$1:$G$1,0))</f>
        <v>M</v>
      </c>
      <c r="M790" s="14">
        <f>INDEX(products!$A$1:$G$49,MATCH(orders!$D790,products!$A$1:$A$49,0),MATCH(orders!M$1,products!$A$1:$G$1,0))</f>
        <v>2.5</v>
      </c>
      <c r="N790" s="4">
        <f>INDEX(products!$A$1:$G$49,MATCH(orders!$D790,products!$A$1:$A$49,0),MATCH(orders!N$1,products!$A$1:$G$1,0))</f>
        <v>22.884999999999998</v>
      </c>
      <c r="O790" s="13">
        <f t="shared" si="60"/>
        <v>45.769999999999996</v>
      </c>
      <c r="P790" s="13">
        <f>_xlfn.XLOOKUP(Orders[[#This Row],[Product ID]],products!$A$1:$A$49,products!$G$1:$G$49,,0)</f>
        <v>1.3730999999999998</v>
      </c>
      <c r="Q790" s="13">
        <f t="shared" si="61"/>
        <v>2.7461999999999995</v>
      </c>
      <c r="R790" t="str">
        <f t="shared" si="63"/>
        <v>Robusta</v>
      </c>
      <c r="S790" t="str">
        <f t="shared" si="64"/>
        <v>Medium</v>
      </c>
      <c r="T790" t="str">
        <f>_xlfn.XLOOKUP(Orders[[#This Row],[Customer ID]],customers!$A$1:$A$1001,customers!$I$1:$I$1001,,0)</f>
        <v>Yes</v>
      </c>
    </row>
    <row r="791" spans="1:20" x14ac:dyDescent="0.35">
      <c r="A791" s="2" t="s">
        <v>4949</v>
      </c>
      <c r="B791" s="3">
        <v>43485</v>
      </c>
      <c r="C791" s="2" t="s">
        <v>4950</v>
      </c>
      <c r="D791" t="s">
        <v>6140</v>
      </c>
      <c r="E791" t="str">
        <f t="shared" si="62"/>
        <v>Arabica-Light-1</v>
      </c>
      <c r="F791" s="2">
        <v>6</v>
      </c>
      <c r="G791" s="2" t="str" cm="1">
        <f t="array" ref="G791">_xlfn.XLOOKUP(C791, customers!$A$1:A1790,customers!$B$1:B1790,,0)</f>
        <v>Nobe Buney</v>
      </c>
      <c r="H791" s="2" t="str" cm="1">
        <f t="array" ref="H791">IF(_xlfn.XLOOKUP(C791,customers!$A$1:A1790,customers!$C$1:C1790,,0) = 0,"", _xlfn.XLOOKUP(C791,customers!$A$1:A1790,customers!$C$1:C1790,,0))</f>
        <v>nbuneylx@jugem.jp</v>
      </c>
      <c r="I791" s="2" t="str">
        <f>_xlfn.XLOOKUP(C791,customers!$A$1:$A$1001,customers!$G$1:$G$1001,,0)</f>
        <v>United States</v>
      </c>
      <c r="J791" s="2" t="str">
        <f>_xlfn.XLOOKUP(Orders[[#This Row],[Customer ID]],customers!$A$1:$A$1001,customers!$F$1:$F$1001,,0)</f>
        <v>Richmond</v>
      </c>
      <c r="K791" t="str">
        <f>INDEX(products!$A$1:$G$49,MATCH(orders!$D791,products!$A$1:$A$49,0),MATCH(orders!K$1,products!$A$1:$G$1,0))</f>
        <v>Ara</v>
      </c>
      <c r="L791" t="str">
        <f>INDEX(products!$A$1:$G$49,MATCH(orders!$D791,products!$A$1:$A$49,0),MATCH(orders!L$1,products!$A$1:$G$1,0))</f>
        <v>L</v>
      </c>
      <c r="M791" s="14">
        <f>INDEX(products!$A$1:$G$49,MATCH(orders!$D791,products!$A$1:$A$49,0),MATCH(orders!M$1,products!$A$1:$G$1,0))</f>
        <v>1</v>
      </c>
      <c r="N791" s="4">
        <f>INDEX(products!$A$1:$G$49,MATCH(orders!$D791,products!$A$1:$A$49,0),MATCH(orders!N$1,products!$A$1:$G$1,0))</f>
        <v>12.95</v>
      </c>
      <c r="O791" s="13">
        <f t="shared" si="60"/>
        <v>77.699999999999989</v>
      </c>
      <c r="P791" s="13">
        <f>_xlfn.XLOOKUP(Orders[[#This Row],[Product ID]],products!$A$1:$A$49,products!$G$1:$G$49,,0)</f>
        <v>1.1655</v>
      </c>
      <c r="Q791" s="13">
        <f t="shared" si="61"/>
        <v>6.9930000000000003</v>
      </c>
      <c r="R791" t="str">
        <f t="shared" si="63"/>
        <v>Arabica</v>
      </c>
      <c r="S791" t="str">
        <f t="shared" si="64"/>
        <v>Light</v>
      </c>
      <c r="T791" t="str">
        <f>_xlfn.XLOOKUP(Orders[[#This Row],[Customer ID]],customers!$A$1:$A$1001,customers!$I$1:$I$1001,,0)</f>
        <v>No</v>
      </c>
    </row>
    <row r="792" spans="1:20" x14ac:dyDescent="0.35">
      <c r="A792" s="2" t="s">
        <v>4955</v>
      </c>
      <c r="B792" s="3">
        <v>44613</v>
      </c>
      <c r="C792" s="2" t="s">
        <v>4956</v>
      </c>
      <c r="D792" t="s">
        <v>6180</v>
      </c>
      <c r="E792" t="str">
        <f t="shared" si="62"/>
        <v>Arabica-Light-0.5</v>
      </c>
      <c r="F792" s="2">
        <v>3</v>
      </c>
      <c r="G792" s="2" t="str" cm="1">
        <f t="array" ref="G792">_xlfn.XLOOKUP(C792, customers!$A$1:A1791,customers!$B$1:B1791,,0)</f>
        <v>Silvan McShea</v>
      </c>
      <c r="H792" s="2" t="str" cm="1">
        <f t="array" ref="H792">IF(_xlfn.XLOOKUP(C792,customers!$A$1:A1791,customers!$C$1:C1791,,0) = 0,"", _xlfn.XLOOKUP(C792,customers!$A$1:A1791,customers!$C$1:C1791,,0))</f>
        <v>smcshealy@photobucket.com</v>
      </c>
      <c r="I792" s="2" t="str">
        <f>_xlfn.XLOOKUP(C792,customers!$A$1:$A$1001,customers!$G$1:$G$1001,,0)</f>
        <v>United States</v>
      </c>
      <c r="J792" s="2" t="str">
        <f>_xlfn.XLOOKUP(Orders[[#This Row],[Customer ID]],customers!$A$1:$A$1001,customers!$F$1:$F$1001,,0)</f>
        <v>Olympia</v>
      </c>
      <c r="K792" t="str">
        <f>INDEX(products!$A$1:$G$49,MATCH(orders!$D792,products!$A$1:$A$49,0),MATCH(orders!K$1,products!$A$1:$G$1,0))</f>
        <v>Ara</v>
      </c>
      <c r="L792" t="str">
        <f>INDEX(products!$A$1:$G$49,MATCH(orders!$D792,products!$A$1:$A$49,0),MATCH(orders!L$1,products!$A$1:$G$1,0))</f>
        <v>L</v>
      </c>
      <c r="M792" s="14">
        <f>INDEX(products!$A$1:$G$49,MATCH(orders!$D792,products!$A$1:$A$49,0),MATCH(orders!M$1,products!$A$1:$G$1,0))</f>
        <v>0.5</v>
      </c>
      <c r="N792" s="4">
        <f>INDEX(products!$A$1:$G$49,MATCH(orders!$D792,products!$A$1:$A$49,0),MATCH(orders!N$1,products!$A$1:$G$1,0))</f>
        <v>7.77</v>
      </c>
      <c r="O792" s="13">
        <f t="shared" si="60"/>
        <v>23.31</v>
      </c>
      <c r="P792" s="13">
        <f>_xlfn.XLOOKUP(Orders[[#This Row],[Product ID]],products!$A$1:$A$49,products!$G$1:$G$49,,0)</f>
        <v>0.69929999999999992</v>
      </c>
      <c r="Q792" s="13">
        <f t="shared" si="61"/>
        <v>2.0978999999999997</v>
      </c>
      <c r="R792" t="str">
        <f t="shared" si="63"/>
        <v>Arabica</v>
      </c>
      <c r="S792" t="str">
        <f t="shared" si="64"/>
        <v>Light</v>
      </c>
      <c r="T792" t="str">
        <f>_xlfn.XLOOKUP(Orders[[#This Row],[Customer ID]],customers!$A$1:$A$1001,customers!$I$1:$I$1001,,0)</f>
        <v>No</v>
      </c>
    </row>
    <row r="793" spans="1:20" x14ac:dyDescent="0.35">
      <c r="A793" s="2" t="s">
        <v>4961</v>
      </c>
      <c r="B793" s="3">
        <v>43954</v>
      </c>
      <c r="C793" s="2" t="s">
        <v>4962</v>
      </c>
      <c r="D793" t="s">
        <v>6145</v>
      </c>
      <c r="E793" t="str">
        <f t="shared" si="62"/>
        <v>Liberica-Light-0.2</v>
      </c>
      <c r="F793" s="2">
        <v>5</v>
      </c>
      <c r="G793" s="2" t="str" cm="1">
        <f t="array" ref="G793">_xlfn.XLOOKUP(C793, customers!$A$1:A1792,customers!$B$1:B1792,,0)</f>
        <v>Karylin Huddart</v>
      </c>
      <c r="H793" s="2" t="str" cm="1">
        <f t="array" ref="H793">IF(_xlfn.XLOOKUP(C793,customers!$A$1:A1792,customers!$C$1:C1792,,0) = 0,"", _xlfn.XLOOKUP(C793,customers!$A$1:A1792,customers!$C$1:C1792,,0))</f>
        <v>khuddartlz@about.com</v>
      </c>
      <c r="I793" s="2" t="str">
        <f>_xlfn.XLOOKUP(C793,customers!$A$1:$A$1001,customers!$G$1:$G$1001,,0)</f>
        <v>United States</v>
      </c>
      <c r="J793" s="2" t="str">
        <f>_xlfn.XLOOKUP(Orders[[#This Row],[Customer ID]],customers!$A$1:$A$1001,customers!$F$1:$F$1001,,0)</f>
        <v>Arlington</v>
      </c>
      <c r="K793" t="str">
        <f>INDEX(products!$A$1:$G$49,MATCH(orders!$D793,products!$A$1:$A$49,0),MATCH(orders!K$1,products!$A$1:$G$1,0))</f>
        <v>Lib</v>
      </c>
      <c r="L793" t="str">
        <f>INDEX(products!$A$1:$G$49,MATCH(orders!$D793,products!$A$1:$A$49,0),MATCH(orders!L$1,products!$A$1:$G$1,0))</f>
        <v>L</v>
      </c>
      <c r="M793" s="14">
        <f>INDEX(products!$A$1:$G$49,MATCH(orders!$D793,products!$A$1:$A$49,0),MATCH(orders!M$1,products!$A$1:$G$1,0))</f>
        <v>0.2</v>
      </c>
      <c r="N793" s="4">
        <f>INDEX(products!$A$1:$G$49,MATCH(orders!$D793,products!$A$1:$A$49,0),MATCH(orders!N$1,products!$A$1:$G$1,0))</f>
        <v>4.7549999999999999</v>
      </c>
      <c r="O793" s="13">
        <f t="shared" si="60"/>
        <v>23.774999999999999</v>
      </c>
      <c r="P793" s="13">
        <f>_xlfn.XLOOKUP(Orders[[#This Row],[Product ID]],products!$A$1:$A$49,products!$G$1:$G$49,,0)</f>
        <v>0.61814999999999998</v>
      </c>
      <c r="Q793" s="13">
        <f t="shared" si="61"/>
        <v>3.0907499999999999</v>
      </c>
      <c r="R793" t="str">
        <f t="shared" si="63"/>
        <v>Liberica</v>
      </c>
      <c r="S793" t="str">
        <f t="shared" si="64"/>
        <v>Light</v>
      </c>
      <c r="T793" t="str">
        <f>_xlfn.XLOOKUP(Orders[[#This Row],[Customer ID]],customers!$A$1:$A$1001,customers!$I$1:$I$1001,,0)</f>
        <v>Yes</v>
      </c>
    </row>
    <row r="794" spans="1:20" x14ac:dyDescent="0.35">
      <c r="A794" s="2" t="s">
        <v>4967</v>
      </c>
      <c r="B794" s="3">
        <v>43545</v>
      </c>
      <c r="C794" s="2" t="s">
        <v>4968</v>
      </c>
      <c r="D794" t="s">
        <v>6160</v>
      </c>
      <c r="E794" t="str">
        <f t="shared" si="62"/>
        <v>Liberica-Medium-0.5</v>
      </c>
      <c r="F794" s="2">
        <v>6</v>
      </c>
      <c r="G794" s="2" t="str" cm="1">
        <f t="array" ref="G794">_xlfn.XLOOKUP(C794, customers!$A$1:A1793,customers!$B$1:B1793,,0)</f>
        <v>Jereme Gippes</v>
      </c>
      <c r="H794" s="2" t="str" cm="1">
        <f t="array" ref="H794">IF(_xlfn.XLOOKUP(C794,customers!$A$1:A1793,customers!$C$1:C1793,,0) = 0,"", _xlfn.XLOOKUP(C794,customers!$A$1:A1793,customers!$C$1:C1793,,0))</f>
        <v>jgippesm0@cloudflare.com</v>
      </c>
      <c r="I794" s="2" t="str">
        <f>_xlfn.XLOOKUP(C794,customers!$A$1:$A$1001,customers!$G$1:$G$1001,,0)</f>
        <v>United Kingdom</v>
      </c>
      <c r="J794" s="2" t="str">
        <f>_xlfn.XLOOKUP(Orders[[#This Row],[Customer ID]],customers!$A$1:$A$1001,customers!$F$1:$F$1001,,0)</f>
        <v>Twyford</v>
      </c>
      <c r="K794" t="str">
        <f>INDEX(products!$A$1:$G$49,MATCH(orders!$D794,products!$A$1:$A$49,0),MATCH(orders!K$1,products!$A$1:$G$1,0))</f>
        <v>Lib</v>
      </c>
      <c r="L794" t="str">
        <f>INDEX(products!$A$1:$G$49,MATCH(orders!$D794,products!$A$1:$A$49,0),MATCH(orders!L$1,products!$A$1:$G$1,0))</f>
        <v>M</v>
      </c>
      <c r="M794" s="14">
        <f>INDEX(products!$A$1:$G$49,MATCH(orders!$D794,products!$A$1:$A$49,0),MATCH(orders!M$1,products!$A$1:$G$1,0))</f>
        <v>0.5</v>
      </c>
      <c r="N794" s="4">
        <f>INDEX(products!$A$1:$G$49,MATCH(orders!$D794,products!$A$1:$A$49,0),MATCH(orders!N$1,products!$A$1:$G$1,0))</f>
        <v>8.73</v>
      </c>
      <c r="O794" s="13">
        <f t="shared" si="60"/>
        <v>52.38</v>
      </c>
      <c r="P794" s="13">
        <f>_xlfn.XLOOKUP(Orders[[#This Row],[Product ID]],products!$A$1:$A$49,products!$G$1:$G$49,,0)</f>
        <v>1.1349</v>
      </c>
      <c r="Q794" s="13">
        <f t="shared" si="61"/>
        <v>6.8094000000000001</v>
      </c>
      <c r="R794" t="str">
        <f t="shared" si="63"/>
        <v>Liberica</v>
      </c>
      <c r="S794" t="str">
        <f t="shared" si="64"/>
        <v>Medium</v>
      </c>
      <c r="T794" t="str">
        <f>_xlfn.XLOOKUP(Orders[[#This Row],[Customer ID]],customers!$A$1:$A$1001,customers!$I$1:$I$1001,,0)</f>
        <v>Yes</v>
      </c>
    </row>
    <row r="795" spans="1:20" x14ac:dyDescent="0.35">
      <c r="A795" s="2" t="s">
        <v>4973</v>
      </c>
      <c r="B795" s="3">
        <v>43629</v>
      </c>
      <c r="C795" s="2" t="s">
        <v>4974</v>
      </c>
      <c r="D795" t="s">
        <v>6178</v>
      </c>
      <c r="E795" t="str">
        <f t="shared" si="62"/>
        <v>Robusta-Light-0.2</v>
      </c>
      <c r="F795" s="2">
        <v>5</v>
      </c>
      <c r="G795" s="2" t="str" cm="1">
        <f t="array" ref="G795">_xlfn.XLOOKUP(C795, customers!$A$1:A1794,customers!$B$1:B1794,,0)</f>
        <v>Lukas Whittlesee</v>
      </c>
      <c r="H795" s="2" t="str" cm="1">
        <f t="array" ref="H795">IF(_xlfn.XLOOKUP(C795,customers!$A$1:A1794,customers!$C$1:C1794,,0) = 0,"", _xlfn.XLOOKUP(C795,customers!$A$1:A1794,customers!$C$1:C1794,,0))</f>
        <v>lwhittleseem1@e-recht24.de</v>
      </c>
      <c r="I795" s="2" t="str">
        <f>_xlfn.XLOOKUP(C795,customers!$A$1:$A$1001,customers!$G$1:$G$1001,,0)</f>
        <v>United States</v>
      </c>
      <c r="J795" s="2" t="str">
        <f>_xlfn.XLOOKUP(Orders[[#This Row],[Customer ID]],customers!$A$1:$A$1001,customers!$F$1:$F$1001,,0)</f>
        <v>Roanoke</v>
      </c>
      <c r="K795" t="str">
        <f>INDEX(products!$A$1:$G$49,MATCH(orders!$D795,products!$A$1:$A$49,0),MATCH(orders!K$1,products!$A$1:$G$1,0))</f>
        <v>Rob</v>
      </c>
      <c r="L795" t="str">
        <f>INDEX(products!$A$1:$G$49,MATCH(orders!$D795,products!$A$1:$A$49,0),MATCH(orders!L$1,products!$A$1:$G$1,0))</f>
        <v>L</v>
      </c>
      <c r="M795" s="14">
        <f>INDEX(products!$A$1:$G$49,MATCH(orders!$D795,products!$A$1:$A$49,0),MATCH(orders!M$1,products!$A$1:$G$1,0))</f>
        <v>0.2</v>
      </c>
      <c r="N795" s="4">
        <f>INDEX(products!$A$1:$G$49,MATCH(orders!$D795,products!$A$1:$A$49,0),MATCH(orders!N$1,products!$A$1:$G$1,0))</f>
        <v>3.5849999999999995</v>
      </c>
      <c r="O795" s="13">
        <f t="shared" si="60"/>
        <v>17.924999999999997</v>
      </c>
      <c r="P795" s="13">
        <f>_xlfn.XLOOKUP(Orders[[#This Row],[Product ID]],products!$A$1:$A$49,products!$G$1:$G$49,,0)</f>
        <v>0.21509999999999996</v>
      </c>
      <c r="Q795" s="13">
        <f t="shared" si="61"/>
        <v>1.0754999999999999</v>
      </c>
      <c r="R795" t="str">
        <f t="shared" si="63"/>
        <v>Robusta</v>
      </c>
      <c r="S795" t="str">
        <f t="shared" si="64"/>
        <v>Light</v>
      </c>
      <c r="T795" t="str">
        <f>_xlfn.XLOOKUP(Orders[[#This Row],[Customer ID]],customers!$A$1:$A$1001,customers!$I$1:$I$1001,,0)</f>
        <v>No</v>
      </c>
    </row>
    <row r="796" spans="1:20" x14ac:dyDescent="0.35">
      <c r="A796" s="2" t="s">
        <v>4979</v>
      </c>
      <c r="B796" s="3">
        <v>43987</v>
      </c>
      <c r="C796" s="2" t="s">
        <v>4980</v>
      </c>
      <c r="D796" t="s">
        <v>6182</v>
      </c>
      <c r="E796" t="str">
        <f t="shared" si="62"/>
        <v>Arabica-Light-2.5</v>
      </c>
      <c r="F796" s="2">
        <v>5</v>
      </c>
      <c r="G796" s="2" t="str" cm="1">
        <f t="array" ref="G796">_xlfn.XLOOKUP(C796, customers!$A$1:A1795,customers!$B$1:B1795,,0)</f>
        <v>Gregorius Trengrove</v>
      </c>
      <c r="H796" s="2" t="str" cm="1">
        <f t="array" ref="H796">IF(_xlfn.XLOOKUP(C796,customers!$A$1:A1795,customers!$C$1:C1795,,0) = 0,"", _xlfn.XLOOKUP(C796,customers!$A$1:A1795,customers!$C$1:C1795,,0))</f>
        <v>gtrengrovem2@elpais.com</v>
      </c>
      <c r="I796" s="2" t="str">
        <f>_xlfn.XLOOKUP(C796,customers!$A$1:$A$1001,customers!$G$1:$G$1001,,0)</f>
        <v>United States</v>
      </c>
      <c r="J796" s="2" t="str">
        <f>_xlfn.XLOOKUP(Orders[[#This Row],[Customer ID]],customers!$A$1:$A$1001,customers!$F$1:$F$1001,,0)</f>
        <v>New Hyde Park</v>
      </c>
      <c r="K796" t="str">
        <f>INDEX(products!$A$1:$G$49,MATCH(orders!$D796,products!$A$1:$A$49,0),MATCH(orders!K$1,products!$A$1:$G$1,0))</f>
        <v>Ara</v>
      </c>
      <c r="L796" t="str">
        <f>INDEX(products!$A$1:$G$49,MATCH(orders!$D796,products!$A$1:$A$49,0),MATCH(orders!L$1,products!$A$1:$G$1,0))</f>
        <v>L</v>
      </c>
      <c r="M796" s="14">
        <f>INDEX(products!$A$1:$G$49,MATCH(orders!$D796,products!$A$1:$A$49,0),MATCH(orders!M$1,products!$A$1:$G$1,0))</f>
        <v>2.5</v>
      </c>
      <c r="N796" s="4">
        <f>INDEX(products!$A$1:$G$49,MATCH(orders!$D796,products!$A$1:$A$49,0),MATCH(orders!N$1,products!$A$1:$G$1,0))</f>
        <v>29.784999999999997</v>
      </c>
      <c r="O796" s="13">
        <f t="shared" si="60"/>
        <v>148.92499999999998</v>
      </c>
      <c r="P796" s="13">
        <f>_xlfn.XLOOKUP(Orders[[#This Row],[Product ID]],products!$A$1:$A$49,products!$G$1:$G$49,,0)</f>
        <v>2.6806499999999995</v>
      </c>
      <c r="Q796" s="13">
        <f t="shared" si="61"/>
        <v>13.403249999999998</v>
      </c>
      <c r="R796" t="str">
        <f t="shared" si="63"/>
        <v>Arabica</v>
      </c>
      <c r="S796" t="str">
        <f t="shared" si="64"/>
        <v>Light</v>
      </c>
      <c r="T796" t="str">
        <f>_xlfn.XLOOKUP(Orders[[#This Row],[Customer ID]],customers!$A$1:$A$1001,customers!$I$1:$I$1001,,0)</f>
        <v>No</v>
      </c>
    </row>
    <row r="797" spans="1:20" x14ac:dyDescent="0.35">
      <c r="A797" s="2" t="s">
        <v>4985</v>
      </c>
      <c r="B797" s="3">
        <v>43540</v>
      </c>
      <c r="C797" s="2" t="s">
        <v>4986</v>
      </c>
      <c r="D797" t="s">
        <v>6173</v>
      </c>
      <c r="E797" t="str">
        <f t="shared" si="62"/>
        <v>Robusta-Light-0.5</v>
      </c>
      <c r="F797" s="2">
        <v>4</v>
      </c>
      <c r="G797" s="2" t="str" cm="1">
        <f t="array" ref="G797">_xlfn.XLOOKUP(C797, customers!$A$1:A1796,customers!$B$1:B1796,,0)</f>
        <v>Wright Caldero</v>
      </c>
      <c r="H797" s="2" t="str" cm="1">
        <f t="array" ref="H797">IF(_xlfn.XLOOKUP(C797,customers!$A$1:A1796,customers!$C$1:C1796,,0) = 0,"", _xlfn.XLOOKUP(C797,customers!$A$1:A1796,customers!$C$1:C1796,,0))</f>
        <v>wcalderom3@stumbleupon.com</v>
      </c>
      <c r="I797" s="2" t="str">
        <f>_xlfn.XLOOKUP(C797,customers!$A$1:$A$1001,customers!$G$1:$G$1001,,0)</f>
        <v>United States</v>
      </c>
      <c r="J797" s="2" t="str">
        <f>_xlfn.XLOOKUP(Orders[[#This Row],[Customer ID]],customers!$A$1:$A$1001,customers!$F$1:$F$1001,,0)</f>
        <v>Anaheim</v>
      </c>
      <c r="K797" t="str">
        <f>INDEX(products!$A$1:$G$49,MATCH(orders!$D797,products!$A$1:$A$49,0),MATCH(orders!K$1,products!$A$1:$G$1,0))</f>
        <v>Rob</v>
      </c>
      <c r="L797" t="str">
        <f>INDEX(products!$A$1:$G$49,MATCH(orders!$D797,products!$A$1:$A$49,0),MATCH(orders!L$1,products!$A$1:$G$1,0))</f>
        <v>L</v>
      </c>
      <c r="M797" s="14">
        <f>INDEX(products!$A$1:$G$49,MATCH(orders!$D797,products!$A$1:$A$49,0),MATCH(orders!M$1,products!$A$1:$G$1,0))</f>
        <v>0.5</v>
      </c>
      <c r="N797" s="4">
        <f>INDEX(products!$A$1:$G$49,MATCH(orders!$D797,products!$A$1:$A$49,0),MATCH(orders!N$1,products!$A$1:$G$1,0))</f>
        <v>7.169999999999999</v>
      </c>
      <c r="O797" s="13">
        <f t="shared" si="60"/>
        <v>28.679999999999996</v>
      </c>
      <c r="P797" s="13">
        <f>_xlfn.XLOOKUP(Orders[[#This Row],[Product ID]],products!$A$1:$A$49,products!$G$1:$G$49,,0)</f>
        <v>0.43019999999999992</v>
      </c>
      <c r="Q797" s="13">
        <f t="shared" si="61"/>
        <v>1.7207999999999997</v>
      </c>
      <c r="R797" t="str">
        <f t="shared" si="63"/>
        <v>Robusta</v>
      </c>
      <c r="S797" t="str">
        <f t="shared" si="64"/>
        <v>Light</v>
      </c>
      <c r="T797" t="str">
        <f>_xlfn.XLOOKUP(Orders[[#This Row],[Customer ID]],customers!$A$1:$A$1001,customers!$I$1:$I$1001,,0)</f>
        <v>No</v>
      </c>
    </row>
    <row r="798" spans="1:20" x14ac:dyDescent="0.35">
      <c r="A798" s="2" t="s">
        <v>4991</v>
      </c>
      <c r="B798" s="3">
        <v>44533</v>
      </c>
      <c r="C798" s="2" t="s">
        <v>4992</v>
      </c>
      <c r="D798" t="s">
        <v>6161</v>
      </c>
      <c r="E798" t="str">
        <f t="shared" si="62"/>
        <v>Liberica-Light-0.5</v>
      </c>
      <c r="F798" s="2">
        <v>1</v>
      </c>
      <c r="G798" s="2" t="str" cm="1">
        <f t="array" ref="G798">_xlfn.XLOOKUP(C798, customers!$A$1:A1797,customers!$B$1:B1797,,0)</f>
        <v>Merell Zanazzi</v>
      </c>
      <c r="H798" s="2" t="str" cm="1">
        <f t="array" ref="H798">IF(_xlfn.XLOOKUP(C798,customers!$A$1:A1797,customers!$C$1:C1797,,0) = 0,"", _xlfn.XLOOKUP(C798,customers!$A$1:A1797,customers!$C$1:C1797,,0))</f>
        <v/>
      </c>
      <c r="I798" s="2" t="str">
        <f>_xlfn.XLOOKUP(C798,customers!$A$1:$A$1001,customers!$G$1:$G$1001,,0)</f>
        <v>United States</v>
      </c>
      <c r="J798" s="2" t="str">
        <f>_xlfn.XLOOKUP(Orders[[#This Row],[Customer ID]],customers!$A$1:$A$1001,customers!$F$1:$F$1001,,0)</f>
        <v>Lexington</v>
      </c>
      <c r="K798" t="str">
        <f>INDEX(products!$A$1:$G$49,MATCH(orders!$D798,products!$A$1:$A$49,0),MATCH(orders!K$1,products!$A$1:$G$1,0))</f>
        <v>Lib</v>
      </c>
      <c r="L798" t="str">
        <f>INDEX(products!$A$1:$G$49,MATCH(orders!$D798,products!$A$1:$A$49,0),MATCH(orders!L$1,products!$A$1:$G$1,0))</f>
        <v>L</v>
      </c>
      <c r="M798" s="14">
        <f>INDEX(products!$A$1:$G$49,MATCH(orders!$D798,products!$A$1:$A$49,0),MATCH(orders!M$1,products!$A$1:$G$1,0))</f>
        <v>0.5</v>
      </c>
      <c r="N798" s="4">
        <f>INDEX(products!$A$1:$G$49,MATCH(orders!$D798,products!$A$1:$A$49,0),MATCH(orders!N$1,products!$A$1:$G$1,0))</f>
        <v>9.51</v>
      </c>
      <c r="O798" s="13">
        <f t="shared" si="60"/>
        <v>9.51</v>
      </c>
      <c r="P798" s="13">
        <f>_xlfn.XLOOKUP(Orders[[#This Row],[Product ID]],products!$A$1:$A$49,products!$G$1:$G$49,,0)</f>
        <v>1.2363</v>
      </c>
      <c r="Q798" s="13">
        <f t="shared" si="61"/>
        <v>1.2363</v>
      </c>
      <c r="R798" t="str">
        <f t="shared" si="63"/>
        <v>Liberica</v>
      </c>
      <c r="S798" t="str">
        <f t="shared" si="64"/>
        <v>Light</v>
      </c>
      <c r="T798" t="str">
        <f>_xlfn.XLOOKUP(Orders[[#This Row],[Customer ID]],customers!$A$1:$A$1001,customers!$I$1:$I$1001,,0)</f>
        <v>No</v>
      </c>
    </row>
    <row r="799" spans="1:20" x14ac:dyDescent="0.35">
      <c r="A799" s="2" t="s">
        <v>4996</v>
      </c>
      <c r="B799" s="3">
        <v>44751</v>
      </c>
      <c r="C799" s="2" t="s">
        <v>4997</v>
      </c>
      <c r="D799" t="s">
        <v>6180</v>
      </c>
      <c r="E799" t="str">
        <f t="shared" si="62"/>
        <v>Arabica-Light-0.5</v>
      </c>
      <c r="F799" s="2">
        <v>4</v>
      </c>
      <c r="G799" s="2" t="str" cm="1">
        <f t="array" ref="G799">_xlfn.XLOOKUP(C799, customers!$A$1:A1798,customers!$B$1:B1798,,0)</f>
        <v>Jed Kennicott</v>
      </c>
      <c r="H799" s="2" t="str" cm="1">
        <f t="array" ref="H799">IF(_xlfn.XLOOKUP(C799,customers!$A$1:A1798,customers!$C$1:C1798,,0) = 0,"", _xlfn.XLOOKUP(C799,customers!$A$1:A1798,customers!$C$1:C1798,,0))</f>
        <v>jkennicottm5@yahoo.co.jp</v>
      </c>
      <c r="I799" s="2" t="str">
        <f>_xlfn.XLOOKUP(C799,customers!$A$1:$A$1001,customers!$G$1:$G$1001,,0)</f>
        <v>United States</v>
      </c>
      <c r="J799" s="2" t="str">
        <f>_xlfn.XLOOKUP(Orders[[#This Row],[Customer ID]],customers!$A$1:$A$1001,customers!$F$1:$F$1001,,0)</f>
        <v>Tampa</v>
      </c>
      <c r="K799" t="str">
        <f>INDEX(products!$A$1:$G$49,MATCH(orders!$D799,products!$A$1:$A$49,0),MATCH(orders!K$1,products!$A$1:$G$1,0))</f>
        <v>Ara</v>
      </c>
      <c r="L799" t="str">
        <f>INDEX(products!$A$1:$G$49,MATCH(orders!$D799,products!$A$1:$A$49,0),MATCH(orders!L$1,products!$A$1:$G$1,0))</f>
        <v>L</v>
      </c>
      <c r="M799" s="14">
        <f>INDEX(products!$A$1:$G$49,MATCH(orders!$D799,products!$A$1:$A$49,0),MATCH(orders!M$1,products!$A$1:$G$1,0))</f>
        <v>0.5</v>
      </c>
      <c r="N799" s="4">
        <f>INDEX(products!$A$1:$G$49,MATCH(orders!$D799,products!$A$1:$A$49,0),MATCH(orders!N$1,products!$A$1:$G$1,0))</f>
        <v>7.77</v>
      </c>
      <c r="O799" s="13">
        <f t="shared" si="60"/>
        <v>31.08</v>
      </c>
      <c r="P799" s="13">
        <f>_xlfn.XLOOKUP(Orders[[#This Row],[Product ID]],products!$A$1:$A$49,products!$G$1:$G$49,,0)</f>
        <v>0.69929999999999992</v>
      </c>
      <c r="Q799" s="13">
        <f t="shared" si="61"/>
        <v>2.7971999999999997</v>
      </c>
      <c r="R799" t="str">
        <f t="shared" si="63"/>
        <v>Arabica</v>
      </c>
      <c r="S799" t="str">
        <f t="shared" si="64"/>
        <v>Light</v>
      </c>
      <c r="T799" t="str">
        <f>_xlfn.XLOOKUP(Orders[[#This Row],[Customer ID]],customers!$A$1:$A$1001,customers!$I$1:$I$1001,,0)</f>
        <v>No</v>
      </c>
    </row>
    <row r="800" spans="1:20" x14ac:dyDescent="0.35">
      <c r="A800" s="2" t="s">
        <v>5002</v>
      </c>
      <c r="B800" s="3">
        <v>43950</v>
      </c>
      <c r="C800" s="2" t="s">
        <v>5003</v>
      </c>
      <c r="D800" t="s">
        <v>6163</v>
      </c>
      <c r="E800" t="str">
        <f t="shared" si="62"/>
        <v>Robusta-Dark-0.2</v>
      </c>
      <c r="F800" s="2">
        <v>3</v>
      </c>
      <c r="G800" s="2" t="str" cm="1">
        <f t="array" ref="G800">_xlfn.XLOOKUP(C800, customers!$A$1:A1799,customers!$B$1:B1799,,0)</f>
        <v>Guenevere Ruggen</v>
      </c>
      <c r="H800" s="2" t="str" cm="1">
        <f t="array" ref="H800">IF(_xlfn.XLOOKUP(C800,customers!$A$1:A1799,customers!$C$1:C1799,,0) = 0,"", _xlfn.XLOOKUP(C800,customers!$A$1:A1799,customers!$C$1:C1799,,0))</f>
        <v>gruggenm6@nymag.com</v>
      </c>
      <c r="I800" s="2" t="str">
        <f>_xlfn.XLOOKUP(C800,customers!$A$1:$A$1001,customers!$G$1:$G$1001,,0)</f>
        <v>United States</v>
      </c>
      <c r="J800" s="2" t="str">
        <f>_xlfn.XLOOKUP(Orders[[#This Row],[Customer ID]],customers!$A$1:$A$1001,customers!$F$1:$F$1001,,0)</f>
        <v>San Jose</v>
      </c>
      <c r="K800" t="str">
        <f>INDEX(products!$A$1:$G$49,MATCH(orders!$D800,products!$A$1:$A$49,0),MATCH(orders!K$1,products!$A$1:$G$1,0))</f>
        <v>Rob</v>
      </c>
      <c r="L800" t="str">
        <f>INDEX(products!$A$1:$G$49,MATCH(orders!$D800,products!$A$1:$A$49,0),MATCH(orders!L$1,products!$A$1:$G$1,0))</f>
        <v>D</v>
      </c>
      <c r="M800" s="14">
        <f>INDEX(products!$A$1:$G$49,MATCH(orders!$D800,products!$A$1:$A$49,0),MATCH(orders!M$1,products!$A$1:$G$1,0))</f>
        <v>0.2</v>
      </c>
      <c r="N800" s="4">
        <f>INDEX(products!$A$1:$G$49,MATCH(orders!$D800,products!$A$1:$A$49,0),MATCH(orders!N$1,products!$A$1:$G$1,0))</f>
        <v>2.6849999999999996</v>
      </c>
      <c r="O800" s="13">
        <f t="shared" si="60"/>
        <v>8.0549999999999997</v>
      </c>
      <c r="P800" s="13">
        <f>_xlfn.XLOOKUP(Orders[[#This Row],[Product ID]],products!$A$1:$A$49,products!$G$1:$G$49,,0)</f>
        <v>0.16109999999999997</v>
      </c>
      <c r="Q800" s="13">
        <f t="shared" si="61"/>
        <v>0.4832999999999999</v>
      </c>
      <c r="R800" t="str">
        <f t="shared" si="63"/>
        <v>Robusta</v>
      </c>
      <c r="S800" t="str">
        <f t="shared" si="64"/>
        <v>Dark</v>
      </c>
      <c r="T800" t="str">
        <f>_xlfn.XLOOKUP(Orders[[#This Row],[Customer ID]],customers!$A$1:$A$1001,customers!$I$1:$I$1001,,0)</f>
        <v>Yes</v>
      </c>
    </row>
    <row r="801" spans="1:20" x14ac:dyDescent="0.35">
      <c r="A801" s="2" t="s">
        <v>5008</v>
      </c>
      <c r="B801" s="3">
        <v>44588</v>
      </c>
      <c r="C801" s="2" t="s">
        <v>5009</v>
      </c>
      <c r="D801" t="s">
        <v>6183</v>
      </c>
      <c r="E801" t="str">
        <f t="shared" si="62"/>
        <v>Excelsa-Dark-1</v>
      </c>
      <c r="F801" s="2">
        <v>3</v>
      </c>
      <c r="G801" s="2" t="str" cm="1">
        <f t="array" ref="G801">_xlfn.XLOOKUP(C801, customers!$A$1:A1800,customers!$B$1:B1800,,0)</f>
        <v>Gonzales Cicculi</v>
      </c>
      <c r="H801" s="2" t="str" cm="1">
        <f t="array" ref="H801">IF(_xlfn.XLOOKUP(C801,customers!$A$1:A1800,customers!$C$1:C1800,,0) = 0,"", _xlfn.XLOOKUP(C801,customers!$A$1:A1800,customers!$C$1:C1800,,0))</f>
        <v/>
      </c>
      <c r="I801" s="2" t="str">
        <f>_xlfn.XLOOKUP(C801,customers!$A$1:$A$1001,customers!$G$1:$G$1001,,0)</f>
        <v>United States</v>
      </c>
      <c r="J801" s="2" t="str">
        <f>_xlfn.XLOOKUP(Orders[[#This Row],[Customer ID]],customers!$A$1:$A$1001,customers!$F$1:$F$1001,,0)</f>
        <v>Washington</v>
      </c>
      <c r="K801" t="str">
        <f>INDEX(products!$A$1:$G$49,MATCH(orders!$D801,products!$A$1:$A$49,0),MATCH(orders!K$1,products!$A$1:$G$1,0))</f>
        <v>Exc</v>
      </c>
      <c r="L801" t="str">
        <f>INDEX(products!$A$1:$G$49,MATCH(orders!$D801,products!$A$1:$A$49,0),MATCH(orders!L$1,products!$A$1:$G$1,0))</f>
        <v>D</v>
      </c>
      <c r="M801" s="14">
        <f>INDEX(products!$A$1:$G$49,MATCH(orders!$D801,products!$A$1:$A$49,0),MATCH(orders!M$1,products!$A$1:$G$1,0))</f>
        <v>1</v>
      </c>
      <c r="N801" s="4">
        <f>INDEX(products!$A$1:$G$49,MATCH(orders!$D801,products!$A$1:$A$49,0),MATCH(orders!N$1,products!$A$1:$G$1,0))</f>
        <v>12.15</v>
      </c>
      <c r="O801" s="13">
        <f t="shared" si="60"/>
        <v>36.450000000000003</v>
      </c>
      <c r="P801" s="13">
        <f>_xlfn.XLOOKUP(Orders[[#This Row],[Product ID]],products!$A$1:$A$49,products!$G$1:$G$49,,0)</f>
        <v>1.3365</v>
      </c>
      <c r="Q801" s="13">
        <f t="shared" si="61"/>
        <v>4.0095000000000001</v>
      </c>
      <c r="R801" t="str">
        <f t="shared" si="63"/>
        <v>Execelsa</v>
      </c>
      <c r="S801" t="str">
        <f t="shared" si="64"/>
        <v>Dark</v>
      </c>
      <c r="T801" t="str">
        <f>_xlfn.XLOOKUP(Orders[[#This Row],[Customer ID]],customers!$A$1:$A$1001,customers!$I$1:$I$1001,,0)</f>
        <v>Yes</v>
      </c>
    </row>
    <row r="802" spans="1:20" x14ac:dyDescent="0.35">
      <c r="A802" s="2" t="s">
        <v>5012</v>
      </c>
      <c r="B802" s="3">
        <v>44240</v>
      </c>
      <c r="C802" s="2" t="s">
        <v>5013</v>
      </c>
      <c r="D802" t="s">
        <v>6163</v>
      </c>
      <c r="E802" t="str">
        <f t="shared" si="62"/>
        <v>Robusta-Dark-0.2</v>
      </c>
      <c r="F802" s="2">
        <v>6</v>
      </c>
      <c r="G802" s="2" t="str" cm="1">
        <f t="array" ref="G802">_xlfn.XLOOKUP(C802, customers!$A$1:A1801,customers!$B$1:B1801,,0)</f>
        <v>Man Fright</v>
      </c>
      <c r="H802" s="2" t="str" cm="1">
        <f t="array" ref="H802">IF(_xlfn.XLOOKUP(C802,customers!$A$1:A1801,customers!$C$1:C1801,,0) = 0,"", _xlfn.XLOOKUP(C802,customers!$A$1:A1801,customers!$C$1:C1801,,0))</f>
        <v>mfrightm8@harvard.edu</v>
      </c>
      <c r="I802" s="2" t="str">
        <f>_xlfn.XLOOKUP(C802,customers!$A$1:$A$1001,customers!$G$1:$G$1001,,0)</f>
        <v>Ireland</v>
      </c>
      <c r="J802" s="2" t="str">
        <f>_xlfn.XLOOKUP(Orders[[#This Row],[Customer ID]],customers!$A$1:$A$1001,customers!$F$1:$F$1001,,0)</f>
        <v>Daingean</v>
      </c>
      <c r="K802" t="str">
        <f>INDEX(products!$A$1:$G$49,MATCH(orders!$D802,products!$A$1:$A$49,0),MATCH(orders!K$1,products!$A$1:$G$1,0))</f>
        <v>Rob</v>
      </c>
      <c r="L802" t="str">
        <f>INDEX(products!$A$1:$G$49,MATCH(orders!$D802,products!$A$1:$A$49,0),MATCH(orders!L$1,products!$A$1:$G$1,0))</f>
        <v>D</v>
      </c>
      <c r="M802" s="14">
        <f>INDEX(products!$A$1:$G$49,MATCH(orders!$D802,products!$A$1:$A$49,0),MATCH(orders!M$1,products!$A$1:$G$1,0))</f>
        <v>0.2</v>
      </c>
      <c r="N802" s="4">
        <f>INDEX(products!$A$1:$G$49,MATCH(orders!$D802,products!$A$1:$A$49,0),MATCH(orders!N$1,products!$A$1:$G$1,0))</f>
        <v>2.6849999999999996</v>
      </c>
      <c r="O802" s="13">
        <f t="shared" si="60"/>
        <v>16.11</v>
      </c>
      <c r="P802" s="13">
        <f>_xlfn.XLOOKUP(Orders[[#This Row],[Product ID]],products!$A$1:$A$49,products!$G$1:$G$49,,0)</f>
        <v>0.16109999999999997</v>
      </c>
      <c r="Q802" s="13">
        <f t="shared" si="61"/>
        <v>0.96659999999999979</v>
      </c>
      <c r="R802" t="str">
        <f t="shared" si="63"/>
        <v>Robusta</v>
      </c>
      <c r="S802" t="str">
        <f t="shared" si="64"/>
        <v>Dark</v>
      </c>
      <c r="T802" t="str">
        <f>_xlfn.XLOOKUP(Orders[[#This Row],[Customer ID]],customers!$A$1:$A$1001,customers!$I$1:$I$1001,,0)</f>
        <v>No</v>
      </c>
    </row>
    <row r="803" spans="1:20" x14ac:dyDescent="0.35">
      <c r="A803" s="2" t="s">
        <v>5018</v>
      </c>
      <c r="B803" s="3">
        <v>44025</v>
      </c>
      <c r="C803" s="2" t="s">
        <v>5019</v>
      </c>
      <c r="D803" t="s">
        <v>6149</v>
      </c>
      <c r="E803" t="str">
        <f t="shared" si="62"/>
        <v>Robusta-Dark-2.5</v>
      </c>
      <c r="F803" s="2">
        <v>2</v>
      </c>
      <c r="G803" s="2" t="str" cm="1">
        <f t="array" ref="G803">_xlfn.XLOOKUP(C803, customers!$A$1:A1802,customers!$B$1:B1802,,0)</f>
        <v>Boyce Tarte</v>
      </c>
      <c r="H803" s="2" t="str" cm="1">
        <f t="array" ref="H803">IF(_xlfn.XLOOKUP(C803,customers!$A$1:A1802,customers!$C$1:C1802,,0) = 0,"", _xlfn.XLOOKUP(C803,customers!$A$1:A1802,customers!$C$1:C1802,,0))</f>
        <v>btartem9@aol.com</v>
      </c>
      <c r="I803" s="2" t="str">
        <f>_xlfn.XLOOKUP(C803,customers!$A$1:$A$1001,customers!$G$1:$G$1001,,0)</f>
        <v>United States</v>
      </c>
      <c r="J803" s="2" t="str">
        <f>_xlfn.XLOOKUP(Orders[[#This Row],[Customer ID]],customers!$A$1:$A$1001,customers!$F$1:$F$1001,,0)</f>
        <v>Olympia</v>
      </c>
      <c r="K803" t="str">
        <f>INDEX(products!$A$1:$G$49,MATCH(orders!$D803,products!$A$1:$A$49,0),MATCH(orders!K$1,products!$A$1:$G$1,0))</f>
        <v>Rob</v>
      </c>
      <c r="L803" t="str">
        <f>INDEX(products!$A$1:$G$49,MATCH(orders!$D803,products!$A$1:$A$49,0),MATCH(orders!L$1,products!$A$1:$G$1,0))</f>
        <v>D</v>
      </c>
      <c r="M803" s="14">
        <f>INDEX(products!$A$1:$G$49,MATCH(orders!$D803,products!$A$1:$A$49,0),MATCH(orders!M$1,products!$A$1:$G$1,0))</f>
        <v>2.5</v>
      </c>
      <c r="N803" s="4">
        <f>INDEX(products!$A$1:$G$49,MATCH(orders!$D803,products!$A$1:$A$49,0),MATCH(orders!N$1,products!$A$1:$G$1,0))</f>
        <v>20.584999999999997</v>
      </c>
      <c r="O803" s="13">
        <f t="shared" si="60"/>
        <v>41.169999999999995</v>
      </c>
      <c r="P803" s="13">
        <f>_xlfn.XLOOKUP(Orders[[#This Row],[Product ID]],products!$A$1:$A$49,products!$G$1:$G$49,,0)</f>
        <v>1.2350999999999999</v>
      </c>
      <c r="Q803" s="13">
        <f t="shared" si="61"/>
        <v>2.4701999999999997</v>
      </c>
      <c r="R803" t="str">
        <f t="shared" si="63"/>
        <v>Robusta</v>
      </c>
      <c r="S803" t="str">
        <f t="shared" si="64"/>
        <v>Dark</v>
      </c>
      <c r="T803" t="str">
        <f>_xlfn.XLOOKUP(Orders[[#This Row],[Customer ID]],customers!$A$1:$A$1001,customers!$I$1:$I$1001,,0)</f>
        <v>Yes</v>
      </c>
    </row>
    <row r="804" spans="1:20" x14ac:dyDescent="0.35">
      <c r="A804" s="2" t="s">
        <v>5024</v>
      </c>
      <c r="B804" s="3">
        <v>43902</v>
      </c>
      <c r="C804" s="2" t="s">
        <v>5025</v>
      </c>
      <c r="D804" t="s">
        <v>6163</v>
      </c>
      <c r="E804" t="str">
        <f t="shared" si="62"/>
        <v>Robusta-Dark-0.2</v>
      </c>
      <c r="F804" s="2">
        <v>4</v>
      </c>
      <c r="G804" s="2" t="str" cm="1">
        <f t="array" ref="G804">_xlfn.XLOOKUP(C804, customers!$A$1:A1803,customers!$B$1:B1803,,0)</f>
        <v>Caddric Krzysztofiak</v>
      </c>
      <c r="H804" s="2" t="str" cm="1">
        <f t="array" ref="H804">IF(_xlfn.XLOOKUP(C804,customers!$A$1:A1803,customers!$C$1:C1803,,0) = 0,"", _xlfn.XLOOKUP(C804,customers!$A$1:A1803,customers!$C$1:C1803,,0))</f>
        <v>ckrzysztofiakma@skyrock.com</v>
      </c>
      <c r="I804" s="2" t="str">
        <f>_xlfn.XLOOKUP(C804,customers!$A$1:$A$1001,customers!$G$1:$G$1001,,0)</f>
        <v>United States</v>
      </c>
      <c r="J804" s="2" t="str">
        <f>_xlfn.XLOOKUP(Orders[[#This Row],[Customer ID]],customers!$A$1:$A$1001,customers!$F$1:$F$1001,,0)</f>
        <v>Mesquite</v>
      </c>
      <c r="K804" t="str">
        <f>INDEX(products!$A$1:$G$49,MATCH(orders!$D804,products!$A$1:$A$49,0),MATCH(orders!K$1,products!$A$1:$G$1,0))</f>
        <v>Rob</v>
      </c>
      <c r="L804" t="str">
        <f>INDEX(products!$A$1:$G$49,MATCH(orders!$D804,products!$A$1:$A$49,0),MATCH(orders!L$1,products!$A$1:$G$1,0))</f>
        <v>D</v>
      </c>
      <c r="M804" s="14">
        <f>INDEX(products!$A$1:$G$49,MATCH(orders!$D804,products!$A$1:$A$49,0),MATCH(orders!M$1,products!$A$1:$G$1,0))</f>
        <v>0.2</v>
      </c>
      <c r="N804" s="4">
        <f>INDEX(products!$A$1:$G$49,MATCH(orders!$D804,products!$A$1:$A$49,0),MATCH(orders!N$1,products!$A$1:$G$1,0))</f>
        <v>2.6849999999999996</v>
      </c>
      <c r="O804" s="13">
        <f t="shared" si="60"/>
        <v>10.739999999999998</v>
      </c>
      <c r="P804" s="13">
        <f>_xlfn.XLOOKUP(Orders[[#This Row],[Product ID]],products!$A$1:$A$49,products!$G$1:$G$49,,0)</f>
        <v>0.16109999999999997</v>
      </c>
      <c r="Q804" s="13">
        <f t="shared" si="61"/>
        <v>0.64439999999999986</v>
      </c>
      <c r="R804" t="str">
        <f t="shared" si="63"/>
        <v>Robusta</v>
      </c>
      <c r="S804" t="str">
        <f t="shared" si="64"/>
        <v>Dark</v>
      </c>
      <c r="T804" t="str">
        <f>_xlfn.XLOOKUP(Orders[[#This Row],[Customer ID]],customers!$A$1:$A$1001,customers!$I$1:$I$1001,,0)</f>
        <v>No</v>
      </c>
    </row>
    <row r="805" spans="1:20" x14ac:dyDescent="0.35">
      <c r="A805" s="2" t="s">
        <v>5030</v>
      </c>
      <c r="B805" s="3">
        <v>43955</v>
      </c>
      <c r="C805" s="2" t="s">
        <v>5031</v>
      </c>
      <c r="D805" t="s">
        <v>6166</v>
      </c>
      <c r="E805" t="str">
        <f t="shared" si="62"/>
        <v>Excelsa-Medium-2.5</v>
      </c>
      <c r="F805" s="2">
        <v>4</v>
      </c>
      <c r="G805" s="2" t="str" cm="1">
        <f t="array" ref="G805">_xlfn.XLOOKUP(C805, customers!$A$1:A1804,customers!$B$1:B1804,,0)</f>
        <v>Darn Penquet</v>
      </c>
      <c r="H805" s="2" t="str" cm="1">
        <f t="array" ref="H805">IF(_xlfn.XLOOKUP(C805,customers!$A$1:A1804,customers!$C$1:C1804,,0) = 0,"", _xlfn.XLOOKUP(C805,customers!$A$1:A1804,customers!$C$1:C1804,,0))</f>
        <v>dpenquetmb@diigo.com</v>
      </c>
      <c r="I805" s="2" t="str">
        <f>_xlfn.XLOOKUP(C805,customers!$A$1:$A$1001,customers!$G$1:$G$1001,,0)</f>
        <v>United States</v>
      </c>
      <c r="J805" s="2" t="str">
        <f>_xlfn.XLOOKUP(Orders[[#This Row],[Customer ID]],customers!$A$1:$A$1001,customers!$F$1:$F$1001,,0)</f>
        <v>Sacramento</v>
      </c>
      <c r="K805" t="str">
        <f>INDEX(products!$A$1:$G$49,MATCH(orders!$D805,products!$A$1:$A$49,0),MATCH(orders!K$1,products!$A$1:$G$1,0))</f>
        <v>Exc</v>
      </c>
      <c r="L805" t="str">
        <f>INDEX(products!$A$1:$G$49,MATCH(orders!$D805,products!$A$1:$A$49,0),MATCH(orders!L$1,products!$A$1:$G$1,0))</f>
        <v>M</v>
      </c>
      <c r="M805" s="14">
        <f>INDEX(products!$A$1:$G$49,MATCH(orders!$D805,products!$A$1:$A$49,0),MATCH(orders!M$1,products!$A$1:$G$1,0))</f>
        <v>2.5</v>
      </c>
      <c r="N805" s="4">
        <f>INDEX(products!$A$1:$G$49,MATCH(orders!$D805,products!$A$1:$A$49,0),MATCH(orders!N$1,products!$A$1:$G$1,0))</f>
        <v>31.624999999999996</v>
      </c>
      <c r="O805" s="13">
        <f t="shared" si="60"/>
        <v>126.49999999999999</v>
      </c>
      <c r="P805" s="13">
        <f>_xlfn.XLOOKUP(Orders[[#This Row],[Product ID]],products!$A$1:$A$49,products!$G$1:$G$49,,0)</f>
        <v>3.4787499999999998</v>
      </c>
      <c r="Q805" s="13">
        <f t="shared" si="61"/>
        <v>13.914999999999999</v>
      </c>
      <c r="R805" t="str">
        <f t="shared" si="63"/>
        <v>Execelsa</v>
      </c>
      <c r="S805" t="str">
        <f t="shared" si="64"/>
        <v>Medium</v>
      </c>
      <c r="T805" t="str">
        <f>_xlfn.XLOOKUP(Orders[[#This Row],[Customer ID]],customers!$A$1:$A$1001,customers!$I$1:$I$1001,,0)</f>
        <v>No</v>
      </c>
    </row>
    <row r="806" spans="1:20" x14ac:dyDescent="0.35">
      <c r="A806" s="2" t="s">
        <v>5035</v>
      </c>
      <c r="B806" s="3">
        <v>44289</v>
      </c>
      <c r="C806" s="2" t="s">
        <v>5036</v>
      </c>
      <c r="D806" t="s">
        <v>6179</v>
      </c>
      <c r="E806" t="str">
        <f t="shared" si="62"/>
        <v>Robusta-Light-1</v>
      </c>
      <c r="F806" s="2">
        <v>2</v>
      </c>
      <c r="G806" s="2" t="str" cm="1">
        <f t="array" ref="G806">_xlfn.XLOOKUP(C806, customers!$A$1:A1805,customers!$B$1:B1805,,0)</f>
        <v>Jammie Cloke</v>
      </c>
      <c r="H806" s="2" t="str" cm="1">
        <f t="array" ref="H806">IF(_xlfn.XLOOKUP(C806,customers!$A$1:A1805,customers!$C$1:C1805,,0) = 0,"", _xlfn.XLOOKUP(C806,customers!$A$1:A1805,customers!$C$1:C1805,,0))</f>
        <v/>
      </c>
      <c r="I806" s="2" t="str">
        <f>_xlfn.XLOOKUP(C806,customers!$A$1:$A$1001,customers!$G$1:$G$1001,,0)</f>
        <v>United Kingdom</v>
      </c>
      <c r="J806" s="2" t="str">
        <f>_xlfn.XLOOKUP(Orders[[#This Row],[Customer ID]],customers!$A$1:$A$1001,customers!$F$1:$F$1001,,0)</f>
        <v>Newton</v>
      </c>
      <c r="K806" t="str">
        <f>INDEX(products!$A$1:$G$49,MATCH(orders!$D806,products!$A$1:$A$49,0),MATCH(orders!K$1,products!$A$1:$G$1,0))</f>
        <v>Rob</v>
      </c>
      <c r="L806" t="str">
        <f>INDEX(products!$A$1:$G$49,MATCH(orders!$D806,products!$A$1:$A$49,0),MATCH(orders!L$1,products!$A$1:$G$1,0))</f>
        <v>L</v>
      </c>
      <c r="M806" s="14">
        <f>INDEX(products!$A$1:$G$49,MATCH(orders!$D806,products!$A$1:$A$49,0),MATCH(orders!M$1,products!$A$1:$G$1,0))</f>
        <v>1</v>
      </c>
      <c r="N806" s="4">
        <f>INDEX(products!$A$1:$G$49,MATCH(orders!$D806,products!$A$1:$A$49,0),MATCH(orders!N$1,products!$A$1:$G$1,0))</f>
        <v>11.95</v>
      </c>
      <c r="O806" s="13">
        <f t="shared" si="60"/>
        <v>23.9</v>
      </c>
      <c r="P806" s="13">
        <f>_xlfn.XLOOKUP(Orders[[#This Row],[Product ID]],products!$A$1:$A$49,products!$G$1:$G$49,,0)</f>
        <v>0.71699999999999997</v>
      </c>
      <c r="Q806" s="13">
        <f t="shared" si="61"/>
        <v>1.4339999999999999</v>
      </c>
      <c r="R806" t="str">
        <f t="shared" si="63"/>
        <v>Robusta</v>
      </c>
      <c r="S806" t="str">
        <f t="shared" si="64"/>
        <v>Light</v>
      </c>
      <c r="T806" t="str">
        <f>_xlfn.XLOOKUP(Orders[[#This Row],[Customer ID]],customers!$A$1:$A$1001,customers!$I$1:$I$1001,,0)</f>
        <v>No</v>
      </c>
    </row>
    <row r="807" spans="1:20" x14ac:dyDescent="0.35">
      <c r="A807" s="2" t="s">
        <v>5040</v>
      </c>
      <c r="B807" s="3">
        <v>44713</v>
      </c>
      <c r="C807" s="2" t="s">
        <v>5041</v>
      </c>
      <c r="D807" t="s">
        <v>6146</v>
      </c>
      <c r="E807" t="str">
        <f t="shared" si="62"/>
        <v>Robusta-Medium-0.5</v>
      </c>
      <c r="F807" s="2">
        <v>1</v>
      </c>
      <c r="G807" s="2" t="str" cm="1">
        <f t="array" ref="G807">_xlfn.XLOOKUP(C807, customers!$A$1:A1806,customers!$B$1:B1806,,0)</f>
        <v>Chester Clowton</v>
      </c>
      <c r="H807" s="2" t="str" cm="1">
        <f t="array" ref="H807">IF(_xlfn.XLOOKUP(C807,customers!$A$1:A1806,customers!$C$1:C1806,,0) = 0,"", _xlfn.XLOOKUP(C807,customers!$A$1:A1806,customers!$C$1:C1806,,0))</f>
        <v/>
      </c>
      <c r="I807" s="2" t="str">
        <f>_xlfn.XLOOKUP(C807,customers!$A$1:$A$1001,customers!$G$1:$G$1001,,0)</f>
        <v>United States</v>
      </c>
      <c r="J807" s="2" t="str">
        <f>_xlfn.XLOOKUP(Orders[[#This Row],[Customer ID]],customers!$A$1:$A$1001,customers!$F$1:$F$1001,,0)</f>
        <v>Monticello</v>
      </c>
      <c r="K807" t="str">
        <f>INDEX(products!$A$1:$G$49,MATCH(orders!$D807,products!$A$1:$A$49,0),MATCH(orders!K$1,products!$A$1:$G$1,0))</f>
        <v>Rob</v>
      </c>
      <c r="L807" t="str">
        <f>INDEX(products!$A$1:$G$49,MATCH(orders!$D807,products!$A$1:$A$49,0),MATCH(orders!L$1,products!$A$1:$G$1,0))</f>
        <v>M</v>
      </c>
      <c r="M807" s="14">
        <f>INDEX(products!$A$1:$G$49,MATCH(orders!$D807,products!$A$1:$A$49,0),MATCH(orders!M$1,products!$A$1:$G$1,0))</f>
        <v>0.5</v>
      </c>
      <c r="N807" s="4">
        <f>INDEX(products!$A$1:$G$49,MATCH(orders!$D807,products!$A$1:$A$49,0),MATCH(orders!N$1,products!$A$1:$G$1,0))</f>
        <v>5.97</v>
      </c>
      <c r="O807" s="13">
        <f t="shared" si="60"/>
        <v>5.97</v>
      </c>
      <c r="P807" s="13">
        <f>_xlfn.XLOOKUP(Orders[[#This Row],[Product ID]],products!$A$1:$A$49,products!$G$1:$G$49,,0)</f>
        <v>0.35819999999999996</v>
      </c>
      <c r="Q807" s="13">
        <f t="shared" si="61"/>
        <v>0.35819999999999996</v>
      </c>
      <c r="R807" t="str">
        <f t="shared" si="63"/>
        <v>Robusta</v>
      </c>
      <c r="S807" t="str">
        <f t="shared" si="64"/>
        <v>Medium</v>
      </c>
      <c r="T807" t="str">
        <f>_xlfn.XLOOKUP(Orders[[#This Row],[Customer ID]],customers!$A$1:$A$1001,customers!$I$1:$I$1001,,0)</f>
        <v>No</v>
      </c>
    </row>
    <row r="808" spans="1:20" x14ac:dyDescent="0.35">
      <c r="A808" s="2" t="s">
        <v>5046</v>
      </c>
      <c r="B808" s="3">
        <v>44241</v>
      </c>
      <c r="C808" s="2" t="s">
        <v>5047</v>
      </c>
      <c r="D808" t="s">
        <v>6150</v>
      </c>
      <c r="E808" t="str">
        <f t="shared" si="62"/>
        <v>Liberica-Dark-0.2</v>
      </c>
      <c r="F808" s="2">
        <v>2</v>
      </c>
      <c r="G808" s="2" t="str" cm="1">
        <f t="array" ref="G808">_xlfn.XLOOKUP(C808, customers!$A$1:A1807,customers!$B$1:B1807,,0)</f>
        <v>Kathleen Diable</v>
      </c>
      <c r="H808" s="2" t="str" cm="1">
        <f t="array" ref="H808">IF(_xlfn.XLOOKUP(C808,customers!$A$1:A1807,customers!$C$1:C1807,,0) = 0,"", _xlfn.XLOOKUP(C808,customers!$A$1:A1807,customers!$C$1:C1807,,0))</f>
        <v/>
      </c>
      <c r="I808" s="2" t="str">
        <f>_xlfn.XLOOKUP(C808,customers!$A$1:$A$1001,customers!$G$1:$G$1001,,0)</f>
        <v>United Kingdom</v>
      </c>
      <c r="J808" s="2" t="str">
        <f>_xlfn.XLOOKUP(Orders[[#This Row],[Customer ID]],customers!$A$1:$A$1001,customers!$F$1:$F$1001,,0)</f>
        <v>Kinloch</v>
      </c>
      <c r="K808" t="str">
        <f>INDEX(products!$A$1:$G$49,MATCH(orders!$D808,products!$A$1:$A$49,0),MATCH(orders!K$1,products!$A$1:$G$1,0))</f>
        <v>Lib</v>
      </c>
      <c r="L808" t="str">
        <f>INDEX(products!$A$1:$G$49,MATCH(orders!$D808,products!$A$1:$A$49,0),MATCH(orders!L$1,products!$A$1:$G$1,0))</f>
        <v>D</v>
      </c>
      <c r="M808" s="14">
        <f>INDEX(products!$A$1:$G$49,MATCH(orders!$D808,products!$A$1:$A$49,0),MATCH(orders!M$1,products!$A$1:$G$1,0))</f>
        <v>0.2</v>
      </c>
      <c r="N808" s="4">
        <f>INDEX(products!$A$1:$G$49,MATCH(orders!$D808,products!$A$1:$A$49,0),MATCH(orders!N$1,products!$A$1:$G$1,0))</f>
        <v>3.8849999999999998</v>
      </c>
      <c r="O808" s="13">
        <f t="shared" si="60"/>
        <v>7.77</v>
      </c>
      <c r="P808" s="13">
        <f>_xlfn.XLOOKUP(Orders[[#This Row],[Product ID]],products!$A$1:$A$49,products!$G$1:$G$49,,0)</f>
        <v>0.50505</v>
      </c>
      <c r="Q808" s="13">
        <f t="shared" si="61"/>
        <v>1.0101</v>
      </c>
      <c r="R808" t="str">
        <f t="shared" si="63"/>
        <v>Liberica</v>
      </c>
      <c r="S808" t="str">
        <f t="shared" si="64"/>
        <v>Dark</v>
      </c>
      <c r="T808" t="str">
        <f>_xlfn.XLOOKUP(Orders[[#This Row],[Customer ID]],customers!$A$1:$A$1001,customers!$I$1:$I$1001,,0)</f>
        <v>Yes</v>
      </c>
    </row>
    <row r="809" spans="1:20" x14ac:dyDescent="0.35">
      <c r="A809" s="2" t="s">
        <v>5050</v>
      </c>
      <c r="B809" s="3">
        <v>44543</v>
      </c>
      <c r="C809" s="2" t="s">
        <v>5051</v>
      </c>
      <c r="D809" t="s">
        <v>6169</v>
      </c>
      <c r="E809" t="str">
        <f t="shared" si="62"/>
        <v>Liberica-Dark-0.5</v>
      </c>
      <c r="F809" s="2">
        <v>3</v>
      </c>
      <c r="G809" s="2" t="str" cm="1">
        <f t="array" ref="G809">_xlfn.XLOOKUP(C809, customers!$A$1:A1808,customers!$B$1:B1808,,0)</f>
        <v>Koren Ferretti</v>
      </c>
      <c r="H809" s="2" t="str" cm="1">
        <f t="array" ref="H809">IF(_xlfn.XLOOKUP(C809,customers!$A$1:A1808,customers!$C$1:C1808,,0) = 0,"", _xlfn.XLOOKUP(C809,customers!$A$1:A1808,customers!$C$1:C1808,,0))</f>
        <v>kferrettimf@huffingtonpost.com</v>
      </c>
      <c r="I809" s="2" t="str">
        <f>_xlfn.XLOOKUP(C809,customers!$A$1:$A$1001,customers!$G$1:$G$1001,,0)</f>
        <v>Ireland</v>
      </c>
      <c r="J809" s="2" t="str">
        <f>_xlfn.XLOOKUP(Orders[[#This Row],[Customer ID]],customers!$A$1:$A$1001,customers!$F$1:$F$1001,,0)</f>
        <v>Balrothery</v>
      </c>
      <c r="K809" t="str">
        <f>INDEX(products!$A$1:$G$49,MATCH(orders!$D809,products!$A$1:$A$49,0),MATCH(orders!K$1,products!$A$1:$G$1,0))</f>
        <v>Lib</v>
      </c>
      <c r="L809" t="str">
        <f>INDEX(products!$A$1:$G$49,MATCH(orders!$D809,products!$A$1:$A$49,0),MATCH(orders!L$1,products!$A$1:$G$1,0))</f>
        <v>D</v>
      </c>
      <c r="M809" s="14">
        <f>INDEX(products!$A$1:$G$49,MATCH(orders!$D809,products!$A$1:$A$49,0),MATCH(orders!M$1,products!$A$1:$G$1,0))</f>
        <v>0.5</v>
      </c>
      <c r="N809" s="4">
        <f>INDEX(products!$A$1:$G$49,MATCH(orders!$D809,products!$A$1:$A$49,0),MATCH(orders!N$1,products!$A$1:$G$1,0))</f>
        <v>7.77</v>
      </c>
      <c r="O809" s="13">
        <f t="shared" si="60"/>
        <v>23.31</v>
      </c>
      <c r="P809" s="13">
        <f>_xlfn.XLOOKUP(Orders[[#This Row],[Product ID]],products!$A$1:$A$49,products!$G$1:$G$49,,0)</f>
        <v>1.0101</v>
      </c>
      <c r="Q809" s="13">
        <f t="shared" si="61"/>
        <v>3.0303</v>
      </c>
      <c r="R809" t="str">
        <f t="shared" si="63"/>
        <v>Liberica</v>
      </c>
      <c r="S809" t="str">
        <f t="shared" si="64"/>
        <v>Dark</v>
      </c>
      <c r="T809" t="str">
        <f>_xlfn.XLOOKUP(Orders[[#This Row],[Customer ID]],customers!$A$1:$A$1001,customers!$I$1:$I$1001,,0)</f>
        <v>No</v>
      </c>
    </row>
    <row r="810" spans="1:20" x14ac:dyDescent="0.35">
      <c r="A810" s="2" t="s">
        <v>5056</v>
      </c>
      <c r="B810" s="3">
        <v>43868</v>
      </c>
      <c r="C810" s="2" t="s">
        <v>5113</v>
      </c>
      <c r="D810" t="s">
        <v>6142</v>
      </c>
      <c r="E810" t="str">
        <f t="shared" si="62"/>
        <v>Robusta-Light-2.5</v>
      </c>
      <c r="F810" s="2">
        <v>5</v>
      </c>
      <c r="G810" s="2" t="str" cm="1">
        <f t="array" ref="G810">_xlfn.XLOOKUP(C810, customers!$A$1:A1809,customers!$B$1:B1809,,0)</f>
        <v>Allis Wilmore</v>
      </c>
      <c r="H810" s="2" t="str" cm="1">
        <f t="array" ref="H810">IF(_xlfn.XLOOKUP(C810,customers!$A$1:A1809,customers!$C$1:C1809,,0) = 0,"", _xlfn.XLOOKUP(C810,customers!$A$1:A1809,customers!$C$1:C1809,,0))</f>
        <v/>
      </c>
      <c r="I810" s="2" t="str">
        <f>_xlfn.XLOOKUP(C810,customers!$A$1:$A$1001,customers!$G$1:$G$1001,,0)</f>
        <v>United States</v>
      </c>
      <c r="J810" s="2" t="str">
        <f>_xlfn.XLOOKUP(Orders[[#This Row],[Customer ID]],customers!$A$1:$A$1001,customers!$F$1:$F$1001,,0)</f>
        <v>Houston</v>
      </c>
      <c r="K810" t="str">
        <f>INDEX(products!$A$1:$G$49,MATCH(orders!$D810,products!$A$1:$A$49,0),MATCH(orders!K$1,products!$A$1:$G$1,0))</f>
        <v>Rob</v>
      </c>
      <c r="L810" t="str">
        <f>INDEX(products!$A$1:$G$49,MATCH(orders!$D810,products!$A$1:$A$49,0),MATCH(orders!L$1,products!$A$1:$G$1,0))</f>
        <v>L</v>
      </c>
      <c r="M810" s="14">
        <f>INDEX(products!$A$1:$G$49,MATCH(orders!$D810,products!$A$1:$A$49,0),MATCH(orders!M$1,products!$A$1:$G$1,0))</f>
        <v>2.5</v>
      </c>
      <c r="N810" s="4">
        <f>INDEX(products!$A$1:$G$49,MATCH(orders!$D810,products!$A$1:$A$49,0),MATCH(orders!N$1,products!$A$1:$G$1,0))</f>
        <v>27.484999999999996</v>
      </c>
      <c r="O810" s="13">
        <f t="shared" si="60"/>
        <v>137.42499999999998</v>
      </c>
      <c r="P810" s="13">
        <f>_xlfn.XLOOKUP(Orders[[#This Row],[Product ID]],products!$A$1:$A$49,products!$G$1:$G$49,,0)</f>
        <v>1.6490999999999998</v>
      </c>
      <c r="Q810" s="13">
        <f t="shared" si="61"/>
        <v>8.2454999999999998</v>
      </c>
      <c r="R810" t="str">
        <f t="shared" si="63"/>
        <v>Robusta</v>
      </c>
      <c r="S810" t="str">
        <f t="shared" si="64"/>
        <v>Light</v>
      </c>
      <c r="T810" t="str">
        <f>_xlfn.XLOOKUP(Orders[[#This Row],[Customer ID]],customers!$A$1:$A$1001,customers!$I$1:$I$1001,,0)</f>
        <v>No</v>
      </c>
    </row>
    <row r="811" spans="1:20" x14ac:dyDescent="0.35">
      <c r="A811" s="2" t="s">
        <v>5062</v>
      </c>
      <c r="B811" s="3">
        <v>44235</v>
      </c>
      <c r="C811" s="2" t="s">
        <v>5063</v>
      </c>
      <c r="D811" t="s">
        <v>6163</v>
      </c>
      <c r="E811" t="str">
        <f t="shared" si="62"/>
        <v>Robusta-Dark-0.2</v>
      </c>
      <c r="F811" s="2">
        <v>3</v>
      </c>
      <c r="G811" s="2" t="str" cm="1">
        <f t="array" ref="G811">_xlfn.XLOOKUP(C811, customers!$A$1:A1810,customers!$B$1:B1810,,0)</f>
        <v>Chaddie Bennie</v>
      </c>
      <c r="H811" s="2" t="str" cm="1">
        <f t="array" ref="H811">IF(_xlfn.XLOOKUP(C811,customers!$A$1:A1810,customers!$C$1:C1810,,0) = 0,"", _xlfn.XLOOKUP(C811,customers!$A$1:A1810,customers!$C$1:C1810,,0))</f>
        <v/>
      </c>
      <c r="I811" s="2" t="str">
        <f>_xlfn.XLOOKUP(C811,customers!$A$1:$A$1001,customers!$G$1:$G$1001,,0)</f>
        <v>United States</v>
      </c>
      <c r="J811" s="2" t="str">
        <f>_xlfn.XLOOKUP(Orders[[#This Row],[Customer ID]],customers!$A$1:$A$1001,customers!$F$1:$F$1001,,0)</f>
        <v>El Paso</v>
      </c>
      <c r="K811" t="str">
        <f>INDEX(products!$A$1:$G$49,MATCH(orders!$D811,products!$A$1:$A$49,0),MATCH(orders!K$1,products!$A$1:$G$1,0))</f>
        <v>Rob</v>
      </c>
      <c r="L811" t="str">
        <f>INDEX(products!$A$1:$G$49,MATCH(orders!$D811,products!$A$1:$A$49,0),MATCH(orders!L$1,products!$A$1:$G$1,0))</f>
        <v>D</v>
      </c>
      <c r="M811" s="14">
        <f>INDEX(products!$A$1:$G$49,MATCH(orders!$D811,products!$A$1:$A$49,0),MATCH(orders!M$1,products!$A$1:$G$1,0))</f>
        <v>0.2</v>
      </c>
      <c r="N811" s="4">
        <f>INDEX(products!$A$1:$G$49,MATCH(orders!$D811,products!$A$1:$A$49,0),MATCH(orders!N$1,products!$A$1:$G$1,0))</f>
        <v>2.6849999999999996</v>
      </c>
      <c r="O811" s="13">
        <f t="shared" si="60"/>
        <v>8.0549999999999997</v>
      </c>
      <c r="P811" s="13">
        <f>_xlfn.XLOOKUP(Orders[[#This Row],[Product ID]],products!$A$1:$A$49,products!$G$1:$G$49,,0)</f>
        <v>0.16109999999999997</v>
      </c>
      <c r="Q811" s="13">
        <f t="shared" si="61"/>
        <v>0.4832999999999999</v>
      </c>
      <c r="R811" t="str">
        <f t="shared" si="63"/>
        <v>Robusta</v>
      </c>
      <c r="S811" t="str">
        <f t="shared" si="64"/>
        <v>Dark</v>
      </c>
      <c r="T811" t="str">
        <f>_xlfn.XLOOKUP(Orders[[#This Row],[Customer ID]],customers!$A$1:$A$1001,customers!$I$1:$I$1001,,0)</f>
        <v>Yes</v>
      </c>
    </row>
    <row r="812" spans="1:20" x14ac:dyDescent="0.35">
      <c r="A812" s="2" t="s">
        <v>5067</v>
      </c>
      <c r="B812" s="3">
        <v>44054</v>
      </c>
      <c r="C812" s="2" t="s">
        <v>5068</v>
      </c>
      <c r="D812" t="s">
        <v>6161</v>
      </c>
      <c r="E812" t="str">
        <f t="shared" si="62"/>
        <v>Liberica-Light-0.5</v>
      </c>
      <c r="F812" s="2">
        <v>3</v>
      </c>
      <c r="G812" s="2" t="str" cm="1">
        <f t="array" ref="G812">_xlfn.XLOOKUP(C812, customers!$A$1:A1811,customers!$B$1:B1811,,0)</f>
        <v>Alberta Balsdone</v>
      </c>
      <c r="H812" s="2" t="str" cm="1">
        <f t="array" ref="H812">IF(_xlfn.XLOOKUP(C812,customers!$A$1:A1811,customers!$C$1:C1811,,0) = 0,"", _xlfn.XLOOKUP(C812,customers!$A$1:A1811,customers!$C$1:C1811,,0))</f>
        <v>abalsdonemi@toplist.cz</v>
      </c>
      <c r="I812" s="2" t="str">
        <f>_xlfn.XLOOKUP(C812,customers!$A$1:$A$1001,customers!$G$1:$G$1001,,0)</f>
        <v>United States</v>
      </c>
      <c r="J812" s="2" t="str">
        <f>_xlfn.XLOOKUP(Orders[[#This Row],[Customer ID]],customers!$A$1:$A$1001,customers!$F$1:$F$1001,,0)</f>
        <v>Largo</v>
      </c>
      <c r="K812" t="str">
        <f>INDEX(products!$A$1:$G$49,MATCH(orders!$D812,products!$A$1:$A$49,0),MATCH(orders!K$1,products!$A$1:$G$1,0))</f>
        <v>Lib</v>
      </c>
      <c r="L812" t="str">
        <f>INDEX(products!$A$1:$G$49,MATCH(orders!$D812,products!$A$1:$A$49,0),MATCH(orders!L$1,products!$A$1:$G$1,0))</f>
        <v>L</v>
      </c>
      <c r="M812" s="14">
        <f>INDEX(products!$A$1:$G$49,MATCH(orders!$D812,products!$A$1:$A$49,0),MATCH(orders!M$1,products!$A$1:$G$1,0))</f>
        <v>0.5</v>
      </c>
      <c r="N812" s="4">
        <f>INDEX(products!$A$1:$G$49,MATCH(orders!$D812,products!$A$1:$A$49,0),MATCH(orders!N$1,products!$A$1:$G$1,0))</f>
        <v>9.51</v>
      </c>
      <c r="O812" s="13">
        <f t="shared" si="60"/>
        <v>28.53</v>
      </c>
      <c r="P812" s="13">
        <f>_xlfn.XLOOKUP(Orders[[#This Row],[Product ID]],products!$A$1:$A$49,products!$G$1:$G$49,,0)</f>
        <v>1.2363</v>
      </c>
      <c r="Q812" s="13">
        <f t="shared" si="61"/>
        <v>3.7088999999999999</v>
      </c>
      <c r="R812" t="str">
        <f t="shared" si="63"/>
        <v>Liberica</v>
      </c>
      <c r="S812" t="str">
        <f t="shared" si="64"/>
        <v>Light</v>
      </c>
      <c r="T812" t="str">
        <f>_xlfn.XLOOKUP(Orders[[#This Row],[Customer ID]],customers!$A$1:$A$1001,customers!$I$1:$I$1001,,0)</f>
        <v>No</v>
      </c>
    </row>
    <row r="813" spans="1:20" x14ac:dyDescent="0.35">
      <c r="A813" s="2" t="s">
        <v>5073</v>
      </c>
      <c r="B813" s="3">
        <v>44114</v>
      </c>
      <c r="C813" s="2" t="s">
        <v>5074</v>
      </c>
      <c r="D813" t="s">
        <v>6155</v>
      </c>
      <c r="E813" t="str">
        <f t="shared" si="62"/>
        <v>Arabica-Medium-1</v>
      </c>
      <c r="F813" s="2">
        <v>6</v>
      </c>
      <c r="G813" s="2" t="str" cm="1">
        <f t="array" ref="G813">_xlfn.XLOOKUP(C813, customers!$A$1:A1812,customers!$B$1:B1812,,0)</f>
        <v>Brice Romera</v>
      </c>
      <c r="H813" s="2" t="str" cm="1">
        <f t="array" ref="H813">IF(_xlfn.XLOOKUP(C813,customers!$A$1:A1812,customers!$C$1:C1812,,0) = 0,"", _xlfn.XLOOKUP(C813,customers!$A$1:A1812,customers!$C$1:C1812,,0))</f>
        <v>bromeramj@list-manage.com</v>
      </c>
      <c r="I813" s="2" t="str">
        <f>_xlfn.XLOOKUP(C813,customers!$A$1:$A$1001,customers!$G$1:$G$1001,,0)</f>
        <v>Ireland</v>
      </c>
      <c r="J813" s="2" t="str">
        <f>_xlfn.XLOOKUP(Orders[[#This Row],[Customer ID]],customers!$A$1:$A$1001,customers!$F$1:$F$1001,,0)</f>
        <v>Foxrock</v>
      </c>
      <c r="K813" t="str">
        <f>INDEX(products!$A$1:$G$49,MATCH(orders!$D813,products!$A$1:$A$49,0),MATCH(orders!K$1,products!$A$1:$G$1,0))</f>
        <v>Ara</v>
      </c>
      <c r="L813" t="str">
        <f>INDEX(products!$A$1:$G$49,MATCH(orders!$D813,products!$A$1:$A$49,0),MATCH(orders!L$1,products!$A$1:$G$1,0))</f>
        <v>M</v>
      </c>
      <c r="M813" s="14">
        <f>INDEX(products!$A$1:$G$49,MATCH(orders!$D813,products!$A$1:$A$49,0),MATCH(orders!M$1,products!$A$1:$G$1,0))</f>
        <v>1</v>
      </c>
      <c r="N813" s="4">
        <f>INDEX(products!$A$1:$G$49,MATCH(orders!$D813,products!$A$1:$A$49,0),MATCH(orders!N$1,products!$A$1:$G$1,0))</f>
        <v>11.25</v>
      </c>
      <c r="O813" s="13">
        <f t="shared" si="60"/>
        <v>67.5</v>
      </c>
      <c r="P813" s="13">
        <f>_xlfn.XLOOKUP(Orders[[#This Row],[Product ID]],products!$A$1:$A$49,products!$G$1:$G$49,,0)</f>
        <v>1.0125</v>
      </c>
      <c r="Q813" s="13">
        <f t="shared" si="61"/>
        <v>6.0749999999999993</v>
      </c>
      <c r="R813" t="str">
        <f t="shared" si="63"/>
        <v>Arabica</v>
      </c>
      <c r="S813" t="str">
        <f t="shared" si="64"/>
        <v>Medium</v>
      </c>
      <c r="T813" t="str">
        <f>_xlfn.XLOOKUP(Orders[[#This Row],[Customer ID]],customers!$A$1:$A$1001,customers!$I$1:$I$1001,,0)</f>
        <v>Yes</v>
      </c>
    </row>
    <row r="814" spans="1:20" x14ac:dyDescent="0.35">
      <c r="A814" s="2" t="s">
        <v>5073</v>
      </c>
      <c r="B814" s="3">
        <v>44114</v>
      </c>
      <c r="C814" s="2" t="s">
        <v>5074</v>
      </c>
      <c r="D814" t="s">
        <v>6165</v>
      </c>
      <c r="E814" t="str">
        <f t="shared" si="62"/>
        <v>Liberica-Dark-2.5</v>
      </c>
      <c r="F814" s="2">
        <v>6</v>
      </c>
      <c r="G814" s="2" t="str" cm="1">
        <f t="array" ref="G814">_xlfn.XLOOKUP(C814, customers!$A$1:A1813,customers!$B$1:B1813,,0)</f>
        <v>Brice Romera</v>
      </c>
      <c r="H814" s="2" t="str" cm="1">
        <f t="array" ref="H814">IF(_xlfn.XLOOKUP(C814,customers!$A$1:A1813,customers!$C$1:C1813,,0) = 0,"", _xlfn.XLOOKUP(C814,customers!$A$1:A1813,customers!$C$1:C1813,,0))</f>
        <v>bromeramj@list-manage.com</v>
      </c>
      <c r="I814" s="2" t="str">
        <f>_xlfn.XLOOKUP(C814,customers!$A$1:$A$1001,customers!$G$1:$G$1001,,0)</f>
        <v>Ireland</v>
      </c>
      <c r="J814" s="2" t="str">
        <f>_xlfn.XLOOKUP(Orders[[#This Row],[Customer ID]],customers!$A$1:$A$1001,customers!$F$1:$F$1001,,0)</f>
        <v>Foxrock</v>
      </c>
      <c r="K814" t="str">
        <f>INDEX(products!$A$1:$G$49,MATCH(orders!$D814,products!$A$1:$A$49,0),MATCH(orders!K$1,products!$A$1:$G$1,0))</f>
        <v>Lib</v>
      </c>
      <c r="L814" t="str">
        <f>INDEX(products!$A$1:$G$49,MATCH(orders!$D814,products!$A$1:$A$49,0),MATCH(orders!L$1,products!$A$1:$G$1,0))</f>
        <v>D</v>
      </c>
      <c r="M814" s="14">
        <f>INDEX(products!$A$1:$G$49,MATCH(orders!$D814,products!$A$1:$A$49,0),MATCH(orders!M$1,products!$A$1:$G$1,0))</f>
        <v>2.5</v>
      </c>
      <c r="N814" s="4">
        <f>INDEX(products!$A$1:$G$49,MATCH(orders!$D814,products!$A$1:$A$49,0),MATCH(orders!N$1,products!$A$1:$G$1,0))</f>
        <v>29.784999999999997</v>
      </c>
      <c r="O814" s="13">
        <f t="shared" si="60"/>
        <v>178.70999999999998</v>
      </c>
      <c r="P814" s="13">
        <f>_xlfn.XLOOKUP(Orders[[#This Row],[Product ID]],products!$A$1:$A$49,products!$G$1:$G$49,,0)</f>
        <v>3.8720499999999998</v>
      </c>
      <c r="Q814" s="13">
        <f t="shared" si="61"/>
        <v>23.232299999999999</v>
      </c>
      <c r="R814" t="str">
        <f t="shared" si="63"/>
        <v>Liberica</v>
      </c>
      <c r="S814" t="str">
        <f t="shared" si="64"/>
        <v>Dark</v>
      </c>
      <c r="T814" t="str">
        <f>_xlfn.XLOOKUP(Orders[[#This Row],[Customer ID]],customers!$A$1:$A$1001,customers!$I$1:$I$1001,,0)</f>
        <v>Yes</v>
      </c>
    </row>
    <row r="815" spans="1:20" x14ac:dyDescent="0.35">
      <c r="A815" s="2" t="s">
        <v>5084</v>
      </c>
      <c r="B815" s="3">
        <v>44173</v>
      </c>
      <c r="C815" s="2" t="s">
        <v>5085</v>
      </c>
      <c r="D815" t="s">
        <v>6166</v>
      </c>
      <c r="E815" t="str">
        <f t="shared" si="62"/>
        <v>Excelsa-Medium-2.5</v>
      </c>
      <c r="F815" s="2">
        <v>1</v>
      </c>
      <c r="G815" s="2" t="str" cm="1">
        <f t="array" ref="G815">_xlfn.XLOOKUP(C815, customers!$A$1:A1814,customers!$B$1:B1814,,0)</f>
        <v>Conchita Bryde</v>
      </c>
      <c r="H815" s="2" t="str" cm="1">
        <f t="array" ref="H815">IF(_xlfn.XLOOKUP(C815,customers!$A$1:A1814,customers!$C$1:C1814,,0) = 0,"", _xlfn.XLOOKUP(C815,customers!$A$1:A1814,customers!$C$1:C1814,,0))</f>
        <v>cbrydeml@tuttocitta.it</v>
      </c>
      <c r="I815" s="2" t="str">
        <f>_xlfn.XLOOKUP(C815,customers!$A$1:$A$1001,customers!$G$1:$G$1001,,0)</f>
        <v>United States</v>
      </c>
      <c r="J815" s="2" t="str">
        <f>_xlfn.XLOOKUP(Orders[[#This Row],[Customer ID]],customers!$A$1:$A$1001,customers!$F$1:$F$1001,,0)</f>
        <v>Oklahoma City</v>
      </c>
      <c r="K815" t="str">
        <f>INDEX(products!$A$1:$G$49,MATCH(orders!$D815,products!$A$1:$A$49,0),MATCH(orders!K$1,products!$A$1:$G$1,0))</f>
        <v>Exc</v>
      </c>
      <c r="L815" t="str">
        <f>INDEX(products!$A$1:$G$49,MATCH(orders!$D815,products!$A$1:$A$49,0),MATCH(orders!L$1,products!$A$1:$G$1,0))</f>
        <v>M</v>
      </c>
      <c r="M815" s="14">
        <f>INDEX(products!$A$1:$G$49,MATCH(orders!$D815,products!$A$1:$A$49,0),MATCH(orders!M$1,products!$A$1:$G$1,0))</f>
        <v>2.5</v>
      </c>
      <c r="N815" s="4">
        <f>INDEX(products!$A$1:$G$49,MATCH(orders!$D815,products!$A$1:$A$49,0),MATCH(orders!N$1,products!$A$1:$G$1,0))</f>
        <v>31.624999999999996</v>
      </c>
      <c r="O815" s="13">
        <f t="shared" si="60"/>
        <v>31.624999999999996</v>
      </c>
      <c r="P815" s="13">
        <f>_xlfn.XLOOKUP(Orders[[#This Row],[Product ID]],products!$A$1:$A$49,products!$G$1:$G$49,,0)</f>
        <v>3.4787499999999998</v>
      </c>
      <c r="Q815" s="13">
        <f t="shared" si="61"/>
        <v>3.4787499999999998</v>
      </c>
      <c r="R815" t="str">
        <f t="shared" si="63"/>
        <v>Execelsa</v>
      </c>
      <c r="S815" t="str">
        <f t="shared" si="64"/>
        <v>Medium</v>
      </c>
      <c r="T815" t="str">
        <f>_xlfn.XLOOKUP(Orders[[#This Row],[Customer ID]],customers!$A$1:$A$1001,customers!$I$1:$I$1001,,0)</f>
        <v>Yes</v>
      </c>
    </row>
    <row r="816" spans="1:20" x14ac:dyDescent="0.35">
      <c r="A816" s="2" t="s">
        <v>5090</v>
      </c>
      <c r="B816" s="3">
        <v>43573</v>
      </c>
      <c r="C816" s="2" t="s">
        <v>5091</v>
      </c>
      <c r="D816" t="s">
        <v>6184</v>
      </c>
      <c r="E816" t="str">
        <f t="shared" si="62"/>
        <v>Excelsa-Light-0.2</v>
      </c>
      <c r="F816" s="2">
        <v>2</v>
      </c>
      <c r="G816" s="2" t="str" cm="1">
        <f t="array" ref="G816">_xlfn.XLOOKUP(C816, customers!$A$1:A1815,customers!$B$1:B1815,,0)</f>
        <v>Silvanus Enefer</v>
      </c>
      <c r="H816" s="2" t="str" cm="1">
        <f t="array" ref="H816">IF(_xlfn.XLOOKUP(C816,customers!$A$1:A1815,customers!$C$1:C1815,,0) = 0,"", _xlfn.XLOOKUP(C816,customers!$A$1:A1815,customers!$C$1:C1815,,0))</f>
        <v>senefermm@blog.com</v>
      </c>
      <c r="I816" s="2" t="str">
        <f>_xlfn.XLOOKUP(C816,customers!$A$1:$A$1001,customers!$G$1:$G$1001,,0)</f>
        <v>United States</v>
      </c>
      <c r="J816" s="2" t="str">
        <f>_xlfn.XLOOKUP(Orders[[#This Row],[Customer ID]],customers!$A$1:$A$1001,customers!$F$1:$F$1001,,0)</f>
        <v>Washington</v>
      </c>
      <c r="K816" t="str">
        <f>INDEX(products!$A$1:$G$49,MATCH(orders!$D816,products!$A$1:$A$49,0),MATCH(orders!K$1,products!$A$1:$G$1,0))</f>
        <v>Exc</v>
      </c>
      <c r="L816" t="str">
        <f>INDEX(products!$A$1:$G$49,MATCH(orders!$D816,products!$A$1:$A$49,0),MATCH(orders!L$1,products!$A$1:$G$1,0))</f>
        <v>L</v>
      </c>
      <c r="M816" s="14">
        <f>INDEX(products!$A$1:$G$49,MATCH(orders!$D816,products!$A$1:$A$49,0),MATCH(orders!M$1,products!$A$1:$G$1,0))</f>
        <v>0.2</v>
      </c>
      <c r="N816" s="4">
        <f>INDEX(products!$A$1:$G$49,MATCH(orders!$D816,products!$A$1:$A$49,0),MATCH(orders!N$1,products!$A$1:$G$1,0))</f>
        <v>4.4550000000000001</v>
      </c>
      <c r="O816" s="13">
        <f t="shared" si="60"/>
        <v>8.91</v>
      </c>
      <c r="P816" s="13">
        <f>_xlfn.XLOOKUP(Orders[[#This Row],[Product ID]],products!$A$1:$A$49,products!$G$1:$G$49,,0)</f>
        <v>0.49004999999999999</v>
      </c>
      <c r="Q816" s="13">
        <f t="shared" si="61"/>
        <v>0.98009999999999997</v>
      </c>
      <c r="R816" t="str">
        <f t="shared" si="63"/>
        <v>Execelsa</v>
      </c>
      <c r="S816" t="str">
        <f t="shared" si="64"/>
        <v>Light</v>
      </c>
      <c r="T816" t="str">
        <f>_xlfn.XLOOKUP(Orders[[#This Row],[Customer ID]],customers!$A$1:$A$1001,customers!$I$1:$I$1001,,0)</f>
        <v>No</v>
      </c>
    </row>
    <row r="817" spans="1:20" x14ac:dyDescent="0.35">
      <c r="A817" s="2" t="s">
        <v>5096</v>
      </c>
      <c r="B817" s="3">
        <v>44200</v>
      </c>
      <c r="C817" s="2" t="s">
        <v>5097</v>
      </c>
      <c r="D817" t="s">
        <v>6146</v>
      </c>
      <c r="E817" t="str">
        <f t="shared" si="62"/>
        <v>Robusta-Medium-0.5</v>
      </c>
      <c r="F817" s="2">
        <v>6</v>
      </c>
      <c r="G817" s="2" t="str" cm="1">
        <f t="array" ref="G817">_xlfn.XLOOKUP(C817, customers!$A$1:A1816,customers!$B$1:B1816,,0)</f>
        <v>Lenci Haggerstone</v>
      </c>
      <c r="H817" s="2" t="str" cm="1">
        <f t="array" ref="H817">IF(_xlfn.XLOOKUP(C817,customers!$A$1:A1816,customers!$C$1:C1816,,0) = 0,"", _xlfn.XLOOKUP(C817,customers!$A$1:A1816,customers!$C$1:C1816,,0))</f>
        <v>lhaggerstonemn@independent.co.uk</v>
      </c>
      <c r="I817" s="2" t="str">
        <f>_xlfn.XLOOKUP(C817,customers!$A$1:$A$1001,customers!$G$1:$G$1001,,0)</f>
        <v>United States</v>
      </c>
      <c r="J817" s="2" t="str">
        <f>_xlfn.XLOOKUP(Orders[[#This Row],[Customer ID]],customers!$A$1:$A$1001,customers!$F$1:$F$1001,,0)</f>
        <v>Atlanta</v>
      </c>
      <c r="K817" t="str">
        <f>INDEX(products!$A$1:$G$49,MATCH(orders!$D817,products!$A$1:$A$49,0),MATCH(orders!K$1,products!$A$1:$G$1,0))</f>
        <v>Rob</v>
      </c>
      <c r="L817" t="str">
        <f>INDEX(products!$A$1:$G$49,MATCH(orders!$D817,products!$A$1:$A$49,0),MATCH(orders!L$1,products!$A$1:$G$1,0))</f>
        <v>M</v>
      </c>
      <c r="M817" s="14">
        <f>INDEX(products!$A$1:$G$49,MATCH(orders!$D817,products!$A$1:$A$49,0),MATCH(orders!M$1,products!$A$1:$G$1,0))</f>
        <v>0.5</v>
      </c>
      <c r="N817" s="4">
        <f>INDEX(products!$A$1:$G$49,MATCH(orders!$D817,products!$A$1:$A$49,0),MATCH(orders!N$1,products!$A$1:$G$1,0))</f>
        <v>5.97</v>
      </c>
      <c r="O817" s="13">
        <f t="shared" si="60"/>
        <v>35.82</v>
      </c>
      <c r="P817" s="13">
        <f>_xlfn.XLOOKUP(Orders[[#This Row],[Product ID]],products!$A$1:$A$49,products!$G$1:$G$49,,0)</f>
        <v>0.35819999999999996</v>
      </c>
      <c r="Q817" s="13">
        <f t="shared" si="61"/>
        <v>2.1491999999999996</v>
      </c>
      <c r="R817" t="str">
        <f t="shared" si="63"/>
        <v>Robusta</v>
      </c>
      <c r="S817" t="str">
        <f t="shared" si="64"/>
        <v>Medium</v>
      </c>
      <c r="T817" t="str">
        <f>_xlfn.XLOOKUP(Orders[[#This Row],[Customer ID]],customers!$A$1:$A$1001,customers!$I$1:$I$1001,,0)</f>
        <v>No</v>
      </c>
    </row>
    <row r="818" spans="1:20" x14ac:dyDescent="0.35">
      <c r="A818" s="2" t="s">
        <v>5102</v>
      </c>
      <c r="B818" s="3">
        <v>43534</v>
      </c>
      <c r="C818" s="2" t="s">
        <v>5103</v>
      </c>
      <c r="D818" t="s">
        <v>6161</v>
      </c>
      <c r="E818" t="str">
        <f t="shared" si="62"/>
        <v>Liberica-Light-0.5</v>
      </c>
      <c r="F818" s="2">
        <v>4</v>
      </c>
      <c r="G818" s="2" t="str" cm="1">
        <f t="array" ref="G818">_xlfn.XLOOKUP(C818, customers!$A$1:A1817,customers!$B$1:B1817,,0)</f>
        <v>Marvin Gundry</v>
      </c>
      <c r="H818" s="2" t="str" cm="1">
        <f t="array" ref="H818">IF(_xlfn.XLOOKUP(C818,customers!$A$1:A1817,customers!$C$1:C1817,,0) = 0,"", _xlfn.XLOOKUP(C818,customers!$A$1:A1817,customers!$C$1:C1817,,0))</f>
        <v>mgundrymo@omniture.com</v>
      </c>
      <c r="I818" s="2" t="str">
        <f>_xlfn.XLOOKUP(C818,customers!$A$1:$A$1001,customers!$G$1:$G$1001,,0)</f>
        <v>Ireland</v>
      </c>
      <c r="J818" s="2" t="str">
        <f>_xlfn.XLOOKUP(Orders[[#This Row],[Customer ID]],customers!$A$1:$A$1001,customers!$F$1:$F$1001,,0)</f>
        <v>Castlebridge</v>
      </c>
      <c r="K818" t="str">
        <f>INDEX(products!$A$1:$G$49,MATCH(orders!$D818,products!$A$1:$A$49,0),MATCH(orders!K$1,products!$A$1:$G$1,0))</f>
        <v>Lib</v>
      </c>
      <c r="L818" t="str">
        <f>INDEX(products!$A$1:$G$49,MATCH(orders!$D818,products!$A$1:$A$49,0),MATCH(orders!L$1,products!$A$1:$G$1,0))</f>
        <v>L</v>
      </c>
      <c r="M818" s="14">
        <f>INDEX(products!$A$1:$G$49,MATCH(orders!$D818,products!$A$1:$A$49,0),MATCH(orders!M$1,products!$A$1:$G$1,0))</f>
        <v>0.5</v>
      </c>
      <c r="N818" s="4">
        <f>INDEX(products!$A$1:$G$49,MATCH(orders!$D818,products!$A$1:$A$49,0),MATCH(orders!N$1,products!$A$1:$G$1,0))</f>
        <v>9.51</v>
      </c>
      <c r="O818" s="13">
        <f t="shared" si="60"/>
        <v>38.04</v>
      </c>
      <c r="P818" s="13">
        <f>_xlfn.XLOOKUP(Orders[[#This Row],[Product ID]],products!$A$1:$A$49,products!$G$1:$G$49,,0)</f>
        <v>1.2363</v>
      </c>
      <c r="Q818" s="13">
        <f t="shared" si="61"/>
        <v>4.9451999999999998</v>
      </c>
      <c r="R818" t="str">
        <f t="shared" si="63"/>
        <v>Liberica</v>
      </c>
      <c r="S818" t="str">
        <f t="shared" si="64"/>
        <v>Light</v>
      </c>
      <c r="T818" t="str">
        <f>_xlfn.XLOOKUP(Orders[[#This Row],[Customer ID]],customers!$A$1:$A$1001,customers!$I$1:$I$1001,,0)</f>
        <v>No</v>
      </c>
    </row>
    <row r="819" spans="1:20" x14ac:dyDescent="0.35">
      <c r="A819" s="2" t="s">
        <v>5107</v>
      </c>
      <c r="B819" s="3">
        <v>43798</v>
      </c>
      <c r="C819" s="2" t="s">
        <v>5108</v>
      </c>
      <c r="D819" t="s">
        <v>6169</v>
      </c>
      <c r="E819" t="str">
        <f t="shared" si="62"/>
        <v>Liberica-Dark-0.5</v>
      </c>
      <c r="F819" s="2">
        <v>2</v>
      </c>
      <c r="G819" s="2" t="str" cm="1">
        <f t="array" ref="G819">_xlfn.XLOOKUP(C819, customers!$A$1:A1818,customers!$B$1:B1818,,0)</f>
        <v>Bayard Wellan</v>
      </c>
      <c r="H819" s="2" t="str" cm="1">
        <f t="array" ref="H819">IF(_xlfn.XLOOKUP(C819,customers!$A$1:A1818,customers!$C$1:C1818,,0) = 0,"", _xlfn.XLOOKUP(C819,customers!$A$1:A1818,customers!$C$1:C1818,,0))</f>
        <v>bwellanmp@cafepress.com</v>
      </c>
      <c r="I819" s="2" t="str">
        <f>_xlfn.XLOOKUP(C819,customers!$A$1:$A$1001,customers!$G$1:$G$1001,,0)</f>
        <v>United States</v>
      </c>
      <c r="J819" s="2" t="str">
        <f>_xlfn.XLOOKUP(Orders[[#This Row],[Customer ID]],customers!$A$1:$A$1001,customers!$F$1:$F$1001,,0)</f>
        <v>Buffalo</v>
      </c>
      <c r="K819" t="str">
        <f>INDEX(products!$A$1:$G$49,MATCH(orders!$D819,products!$A$1:$A$49,0),MATCH(orders!K$1,products!$A$1:$G$1,0))</f>
        <v>Lib</v>
      </c>
      <c r="L819" t="str">
        <f>INDEX(products!$A$1:$G$49,MATCH(orders!$D819,products!$A$1:$A$49,0),MATCH(orders!L$1,products!$A$1:$G$1,0))</f>
        <v>D</v>
      </c>
      <c r="M819" s="14">
        <f>INDEX(products!$A$1:$G$49,MATCH(orders!$D819,products!$A$1:$A$49,0),MATCH(orders!M$1,products!$A$1:$G$1,0))</f>
        <v>0.5</v>
      </c>
      <c r="N819" s="4">
        <f>INDEX(products!$A$1:$G$49,MATCH(orders!$D819,products!$A$1:$A$49,0),MATCH(orders!N$1,products!$A$1:$G$1,0))</f>
        <v>7.77</v>
      </c>
      <c r="O819" s="13">
        <f t="shared" si="60"/>
        <v>15.54</v>
      </c>
      <c r="P819" s="13">
        <f>_xlfn.XLOOKUP(Orders[[#This Row],[Product ID]],products!$A$1:$A$49,products!$G$1:$G$49,,0)</f>
        <v>1.0101</v>
      </c>
      <c r="Q819" s="13">
        <f t="shared" si="61"/>
        <v>2.0202</v>
      </c>
      <c r="R819" t="str">
        <f t="shared" si="63"/>
        <v>Liberica</v>
      </c>
      <c r="S819" t="str">
        <f t="shared" si="64"/>
        <v>Dark</v>
      </c>
      <c r="T819" t="str">
        <f>_xlfn.XLOOKUP(Orders[[#This Row],[Customer ID]],customers!$A$1:$A$1001,customers!$I$1:$I$1001,,0)</f>
        <v>No</v>
      </c>
    </row>
    <row r="820" spans="1:20" x14ac:dyDescent="0.35">
      <c r="A820" s="2" t="s">
        <v>5112</v>
      </c>
      <c r="B820" s="3">
        <v>44761</v>
      </c>
      <c r="C820" s="2" t="s">
        <v>5113</v>
      </c>
      <c r="D820" t="s">
        <v>6170</v>
      </c>
      <c r="E820" t="str">
        <f t="shared" si="62"/>
        <v>Liberica-Light-1</v>
      </c>
      <c r="F820" s="2">
        <v>5</v>
      </c>
      <c r="G820" s="2" t="str" cm="1">
        <f t="array" ref="G820">_xlfn.XLOOKUP(C820, customers!$A$1:A1819,customers!$B$1:B1819,,0)</f>
        <v>Allis Wilmore</v>
      </c>
      <c r="H820" s="2" t="str" cm="1">
        <f t="array" ref="H820">IF(_xlfn.XLOOKUP(C820,customers!$A$1:A1819,customers!$C$1:C1819,,0) = 0,"", _xlfn.XLOOKUP(C820,customers!$A$1:A1819,customers!$C$1:C1819,,0))</f>
        <v/>
      </c>
      <c r="I820" s="2" t="str">
        <f>_xlfn.XLOOKUP(C820,customers!$A$1:$A$1001,customers!$G$1:$G$1001,,0)</f>
        <v>United States</v>
      </c>
      <c r="J820" s="2" t="str">
        <f>_xlfn.XLOOKUP(Orders[[#This Row],[Customer ID]],customers!$A$1:$A$1001,customers!$F$1:$F$1001,,0)</f>
        <v>Houston</v>
      </c>
      <c r="K820" t="str">
        <f>INDEX(products!$A$1:$G$49,MATCH(orders!$D820,products!$A$1:$A$49,0),MATCH(orders!K$1,products!$A$1:$G$1,0))</f>
        <v>Lib</v>
      </c>
      <c r="L820" t="str">
        <f>INDEX(products!$A$1:$G$49,MATCH(orders!$D820,products!$A$1:$A$49,0),MATCH(orders!L$1,products!$A$1:$G$1,0))</f>
        <v>L</v>
      </c>
      <c r="M820" s="14">
        <f>INDEX(products!$A$1:$G$49,MATCH(orders!$D820,products!$A$1:$A$49,0),MATCH(orders!M$1,products!$A$1:$G$1,0))</f>
        <v>1</v>
      </c>
      <c r="N820" s="4">
        <f>INDEX(products!$A$1:$G$49,MATCH(orders!$D820,products!$A$1:$A$49,0),MATCH(orders!N$1,products!$A$1:$G$1,0))</f>
        <v>15.85</v>
      </c>
      <c r="O820" s="13">
        <f t="shared" si="60"/>
        <v>79.25</v>
      </c>
      <c r="P820" s="13">
        <f>_xlfn.XLOOKUP(Orders[[#This Row],[Product ID]],products!$A$1:$A$49,products!$G$1:$G$49,,0)</f>
        <v>2.0605000000000002</v>
      </c>
      <c r="Q820" s="13">
        <f t="shared" si="61"/>
        <v>10.302500000000002</v>
      </c>
      <c r="R820" t="str">
        <f t="shared" si="63"/>
        <v>Liberica</v>
      </c>
      <c r="S820" t="str">
        <f t="shared" si="64"/>
        <v>Light</v>
      </c>
      <c r="T820" t="str">
        <f>_xlfn.XLOOKUP(Orders[[#This Row],[Customer ID]],customers!$A$1:$A$1001,customers!$I$1:$I$1001,,0)</f>
        <v>No</v>
      </c>
    </row>
    <row r="821" spans="1:20" x14ac:dyDescent="0.35">
      <c r="A821" s="2" t="s">
        <v>5117</v>
      </c>
      <c r="B821" s="3">
        <v>44008</v>
      </c>
      <c r="C821" s="2" t="s">
        <v>5118</v>
      </c>
      <c r="D821" t="s">
        <v>6145</v>
      </c>
      <c r="E821" t="str">
        <f t="shared" si="62"/>
        <v>Liberica-Light-0.2</v>
      </c>
      <c r="F821" s="2">
        <v>1</v>
      </c>
      <c r="G821" s="2" t="str" cm="1">
        <f t="array" ref="G821">_xlfn.XLOOKUP(C821, customers!$A$1:A1820,customers!$B$1:B1820,,0)</f>
        <v>Caddric Atcheson</v>
      </c>
      <c r="H821" s="2" t="str" cm="1">
        <f t="array" ref="H821">IF(_xlfn.XLOOKUP(C821,customers!$A$1:A1820,customers!$C$1:C1820,,0) = 0,"", _xlfn.XLOOKUP(C821,customers!$A$1:A1820,customers!$C$1:C1820,,0))</f>
        <v>catchesonmr@xinhuanet.com</v>
      </c>
      <c r="I821" s="2" t="str">
        <f>_xlfn.XLOOKUP(C821,customers!$A$1:$A$1001,customers!$G$1:$G$1001,,0)</f>
        <v>United States</v>
      </c>
      <c r="J821" s="2" t="str">
        <f>_xlfn.XLOOKUP(Orders[[#This Row],[Customer ID]],customers!$A$1:$A$1001,customers!$F$1:$F$1001,,0)</f>
        <v>Washington</v>
      </c>
      <c r="K821" t="str">
        <f>INDEX(products!$A$1:$G$49,MATCH(orders!$D821,products!$A$1:$A$49,0),MATCH(orders!K$1,products!$A$1:$G$1,0))</f>
        <v>Lib</v>
      </c>
      <c r="L821" t="str">
        <f>INDEX(products!$A$1:$G$49,MATCH(orders!$D821,products!$A$1:$A$49,0),MATCH(orders!L$1,products!$A$1:$G$1,0))</f>
        <v>L</v>
      </c>
      <c r="M821" s="14">
        <f>INDEX(products!$A$1:$G$49,MATCH(orders!$D821,products!$A$1:$A$49,0),MATCH(orders!M$1,products!$A$1:$G$1,0))</f>
        <v>0.2</v>
      </c>
      <c r="N821" s="4">
        <f>INDEX(products!$A$1:$G$49,MATCH(orders!$D821,products!$A$1:$A$49,0),MATCH(orders!N$1,products!$A$1:$G$1,0))</f>
        <v>4.7549999999999999</v>
      </c>
      <c r="O821" s="13">
        <f t="shared" si="60"/>
        <v>4.7549999999999999</v>
      </c>
      <c r="P821" s="13">
        <f>_xlfn.XLOOKUP(Orders[[#This Row],[Product ID]],products!$A$1:$A$49,products!$G$1:$G$49,,0)</f>
        <v>0.61814999999999998</v>
      </c>
      <c r="Q821" s="13">
        <f t="shared" si="61"/>
        <v>0.61814999999999998</v>
      </c>
      <c r="R821" t="str">
        <f t="shared" si="63"/>
        <v>Liberica</v>
      </c>
      <c r="S821" t="str">
        <f t="shared" si="64"/>
        <v>Light</v>
      </c>
      <c r="T821" t="str">
        <f>_xlfn.XLOOKUP(Orders[[#This Row],[Customer ID]],customers!$A$1:$A$1001,customers!$I$1:$I$1001,,0)</f>
        <v>Yes</v>
      </c>
    </row>
    <row r="822" spans="1:20" x14ac:dyDescent="0.35">
      <c r="A822" s="2" t="s">
        <v>5123</v>
      </c>
      <c r="B822" s="3">
        <v>43510</v>
      </c>
      <c r="C822" s="2" t="s">
        <v>5124</v>
      </c>
      <c r="D822" t="s">
        <v>6141</v>
      </c>
      <c r="E822" t="str">
        <f t="shared" si="62"/>
        <v>Excelsa-Medium-1</v>
      </c>
      <c r="F822" s="2">
        <v>4</v>
      </c>
      <c r="G822" s="2" t="str" cm="1">
        <f t="array" ref="G822">_xlfn.XLOOKUP(C822, customers!$A$1:A1821,customers!$B$1:B1821,,0)</f>
        <v>Eustace Stenton</v>
      </c>
      <c r="H822" s="2" t="str" cm="1">
        <f t="array" ref="H822">IF(_xlfn.XLOOKUP(C822,customers!$A$1:A1821,customers!$C$1:C1821,,0) = 0,"", _xlfn.XLOOKUP(C822,customers!$A$1:A1821,customers!$C$1:C1821,,0))</f>
        <v>estentonms@google.it</v>
      </c>
      <c r="I822" s="2" t="str">
        <f>_xlfn.XLOOKUP(C822,customers!$A$1:$A$1001,customers!$G$1:$G$1001,,0)</f>
        <v>United States</v>
      </c>
      <c r="J822" s="2" t="str">
        <f>_xlfn.XLOOKUP(Orders[[#This Row],[Customer ID]],customers!$A$1:$A$1001,customers!$F$1:$F$1001,,0)</f>
        <v>Austin</v>
      </c>
      <c r="K822" t="str">
        <f>INDEX(products!$A$1:$G$49,MATCH(orders!$D822,products!$A$1:$A$49,0),MATCH(orders!K$1,products!$A$1:$G$1,0))</f>
        <v>Exc</v>
      </c>
      <c r="L822" t="str">
        <f>INDEX(products!$A$1:$G$49,MATCH(orders!$D822,products!$A$1:$A$49,0),MATCH(orders!L$1,products!$A$1:$G$1,0))</f>
        <v>M</v>
      </c>
      <c r="M822" s="14">
        <f>INDEX(products!$A$1:$G$49,MATCH(orders!$D822,products!$A$1:$A$49,0),MATCH(orders!M$1,products!$A$1:$G$1,0))</f>
        <v>1</v>
      </c>
      <c r="N822" s="4">
        <f>INDEX(products!$A$1:$G$49,MATCH(orders!$D822,products!$A$1:$A$49,0),MATCH(orders!N$1,products!$A$1:$G$1,0))</f>
        <v>13.75</v>
      </c>
      <c r="O822" s="13">
        <f t="shared" si="60"/>
        <v>55</v>
      </c>
      <c r="P822" s="13">
        <f>_xlfn.XLOOKUP(Orders[[#This Row],[Product ID]],products!$A$1:$A$49,products!$G$1:$G$49,,0)</f>
        <v>1.5125</v>
      </c>
      <c r="Q822" s="13">
        <f t="shared" si="61"/>
        <v>6.05</v>
      </c>
      <c r="R822" t="str">
        <f t="shared" si="63"/>
        <v>Execelsa</v>
      </c>
      <c r="S822" t="str">
        <f t="shared" si="64"/>
        <v>Medium</v>
      </c>
      <c r="T822" t="str">
        <f>_xlfn.XLOOKUP(Orders[[#This Row],[Customer ID]],customers!$A$1:$A$1001,customers!$I$1:$I$1001,,0)</f>
        <v>Yes</v>
      </c>
    </row>
    <row r="823" spans="1:20" x14ac:dyDescent="0.35">
      <c r="A823" s="2" t="s">
        <v>5129</v>
      </c>
      <c r="B823" s="3">
        <v>44144</v>
      </c>
      <c r="C823" s="2" t="s">
        <v>5130</v>
      </c>
      <c r="D823" t="s">
        <v>6172</v>
      </c>
      <c r="E823" t="str">
        <f t="shared" si="62"/>
        <v>Robusta-Dark-0.5</v>
      </c>
      <c r="F823" s="2">
        <v>5</v>
      </c>
      <c r="G823" s="2" t="str" cm="1">
        <f t="array" ref="G823">_xlfn.XLOOKUP(C823, customers!$A$1:A1822,customers!$B$1:B1822,,0)</f>
        <v>Ericka Tripp</v>
      </c>
      <c r="H823" s="2" t="str" cm="1">
        <f t="array" ref="H823">IF(_xlfn.XLOOKUP(C823,customers!$A$1:A1822,customers!$C$1:C1822,,0) = 0,"", _xlfn.XLOOKUP(C823,customers!$A$1:A1822,customers!$C$1:C1822,,0))</f>
        <v>etrippmt@wp.com</v>
      </c>
      <c r="I823" s="2" t="str">
        <f>_xlfn.XLOOKUP(C823,customers!$A$1:$A$1001,customers!$G$1:$G$1001,,0)</f>
        <v>United States</v>
      </c>
      <c r="J823" s="2" t="str">
        <f>_xlfn.XLOOKUP(Orders[[#This Row],[Customer ID]],customers!$A$1:$A$1001,customers!$F$1:$F$1001,,0)</f>
        <v>Mesa</v>
      </c>
      <c r="K823" t="str">
        <f>INDEX(products!$A$1:$G$49,MATCH(orders!$D823,products!$A$1:$A$49,0),MATCH(orders!K$1,products!$A$1:$G$1,0))</f>
        <v>Rob</v>
      </c>
      <c r="L823" t="str">
        <f>INDEX(products!$A$1:$G$49,MATCH(orders!$D823,products!$A$1:$A$49,0),MATCH(orders!L$1,products!$A$1:$G$1,0))</f>
        <v>D</v>
      </c>
      <c r="M823" s="14">
        <f>INDEX(products!$A$1:$G$49,MATCH(orders!$D823,products!$A$1:$A$49,0),MATCH(orders!M$1,products!$A$1:$G$1,0))</f>
        <v>0.5</v>
      </c>
      <c r="N823" s="4">
        <f>INDEX(products!$A$1:$G$49,MATCH(orders!$D823,products!$A$1:$A$49,0),MATCH(orders!N$1,products!$A$1:$G$1,0))</f>
        <v>5.3699999999999992</v>
      </c>
      <c r="O823" s="13">
        <f t="shared" si="60"/>
        <v>26.849999999999994</v>
      </c>
      <c r="P823" s="13">
        <f>_xlfn.XLOOKUP(Orders[[#This Row],[Product ID]],products!$A$1:$A$49,products!$G$1:$G$49,,0)</f>
        <v>0.32219999999999993</v>
      </c>
      <c r="Q823" s="13">
        <f t="shared" si="61"/>
        <v>1.6109999999999998</v>
      </c>
      <c r="R823" t="str">
        <f t="shared" si="63"/>
        <v>Robusta</v>
      </c>
      <c r="S823" t="str">
        <f t="shared" si="64"/>
        <v>Dark</v>
      </c>
      <c r="T823" t="str">
        <f>_xlfn.XLOOKUP(Orders[[#This Row],[Customer ID]],customers!$A$1:$A$1001,customers!$I$1:$I$1001,,0)</f>
        <v>No</v>
      </c>
    </row>
    <row r="824" spans="1:20" x14ac:dyDescent="0.35">
      <c r="A824" s="2" t="s">
        <v>5135</v>
      </c>
      <c r="B824" s="3">
        <v>43585</v>
      </c>
      <c r="C824" s="2" t="s">
        <v>5136</v>
      </c>
      <c r="D824" t="s">
        <v>6148</v>
      </c>
      <c r="E824" t="str">
        <f t="shared" si="62"/>
        <v>Excelsa-Light-2.5</v>
      </c>
      <c r="F824" s="2">
        <v>4</v>
      </c>
      <c r="G824" s="2" t="str" cm="1">
        <f t="array" ref="G824">_xlfn.XLOOKUP(C824, customers!$A$1:A1823,customers!$B$1:B1823,,0)</f>
        <v>Lyndsey MacManus</v>
      </c>
      <c r="H824" s="2" t="str" cm="1">
        <f t="array" ref="H824">IF(_xlfn.XLOOKUP(C824,customers!$A$1:A1823,customers!$C$1:C1823,,0) = 0,"", _xlfn.XLOOKUP(C824,customers!$A$1:A1823,customers!$C$1:C1823,,0))</f>
        <v>lmacmanusmu@imdb.com</v>
      </c>
      <c r="I824" s="2" t="str">
        <f>_xlfn.XLOOKUP(C824,customers!$A$1:$A$1001,customers!$G$1:$G$1001,,0)</f>
        <v>United States</v>
      </c>
      <c r="J824" s="2" t="str">
        <f>_xlfn.XLOOKUP(Orders[[#This Row],[Customer ID]],customers!$A$1:$A$1001,customers!$F$1:$F$1001,,0)</f>
        <v>Savannah</v>
      </c>
      <c r="K824" t="str">
        <f>INDEX(products!$A$1:$G$49,MATCH(orders!$D824,products!$A$1:$A$49,0),MATCH(orders!K$1,products!$A$1:$G$1,0))</f>
        <v>Exc</v>
      </c>
      <c r="L824" t="str">
        <f>INDEX(products!$A$1:$G$49,MATCH(orders!$D824,products!$A$1:$A$49,0),MATCH(orders!L$1,products!$A$1:$G$1,0))</f>
        <v>L</v>
      </c>
      <c r="M824" s="14">
        <f>INDEX(products!$A$1:$G$49,MATCH(orders!$D824,products!$A$1:$A$49,0),MATCH(orders!M$1,products!$A$1:$G$1,0))</f>
        <v>2.5</v>
      </c>
      <c r="N824" s="4">
        <f>INDEX(products!$A$1:$G$49,MATCH(orders!$D824,products!$A$1:$A$49,0),MATCH(orders!N$1,products!$A$1:$G$1,0))</f>
        <v>34.154999999999994</v>
      </c>
      <c r="O824" s="13">
        <f t="shared" si="60"/>
        <v>136.61999999999998</v>
      </c>
      <c r="P824" s="13">
        <f>_xlfn.XLOOKUP(Orders[[#This Row],[Product ID]],products!$A$1:$A$49,products!$G$1:$G$49,,0)</f>
        <v>3.7570499999999996</v>
      </c>
      <c r="Q824" s="13">
        <f t="shared" si="61"/>
        <v>15.028199999999998</v>
      </c>
      <c r="R824" t="str">
        <f t="shared" si="63"/>
        <v>Execelsa</v>
      </c>
      <c r="S824" t="str">
        <f t="shared" si="64"/>
        <v>Light</v>
      </c>
      <c r="T824" t="str">
        <f>_xlfn.XLOOKUP(Orders[[#This Row],[Customer ID]],customers!$A$1:$A$1001,customers!$I$1:$I$1001,,0)</f>
        <v>No</v>
      </c>
    </row>
    <row r="825" spans="1:20" x14ac:dyDescent="0.35">
      <c r="A825" s="2" t="s">
        <v>5141</v>
      </c>
      <c r="B825" s="3">
        <v>44134</v>
      </c>
      <c r="C825" s="2" t="s">
        <v>5142</v>
      </c>
      <c r="D825" t="s">
        <v>6170</v>
      </c>
      <c r="E825" t="str">
        <f t="shared" si="62"/>
        <v>Liberica-Light-1</v>
      </c>
      <c r="F825" s="2">
        <v>3</v>
      </c>
      <c r="G825" s="2" t="str" cm="1">
        <f t="array" ref="G825">_xlfn.XLOOKUP(C825, customers!$A$1:A1824,customers!$B$1:B1824,,0)</f>
        <v>Tess Benediktovich</v>
      </c>
      <c r="H825" s="2" t="str" cm="1">
        <f t="array" ref="H825">IF(_xlfn.XLOOKUP(C825,customers!$A$1:A1824,customers!$C$1:C1824,,0) = 0,"", _xlfn.XLOOKUP(C825,customers!$A$1:A1824,customers!$C$1:C1824,,0))</f>
        <v>tbenediktovichmv@ebay.com</v>
      </c>
      <c r="I825" s="2" t="str">
        <f>_xlfn.XLOOKUP(C825,customers!$A$1:$A$1001,customers!$G$1:$G$1001,,0)</f>
        <v>United States</v>
      </c>
      <c r="J825" s="2" t="str">
        <f>_xlfn.XLOOKUP(Orders[[#This Row],[Customer ID]],customers!$A$1:$A$1001,customers!$F$1:$F$1001,,0)</f>
        <v>Albuquerque</v>
      </c>
      <c r="K825" t="str">
        <f>INDEX(products!$A$1:$G$49,MATCH(orders!$D825,products!$A$1:$A$49,0),MATCH(orders!K$1,products!$A$1:$G$1,0))</f>
        <v>Lib</v>
      </c>
      <c r="L825" t="str">
        <f>INDEX(products!$A$1:$G$49,MATCH(orders!$D825,products!$A$1:$A$49,0),MATCH(orders!L$1,products!$A$1:$G$1,0))</f>
        <v>L</v>
      </c>
      <c r="M825" s="14">
        <f>INDEX(products!$A$1:$G$49,MATCH(orders!$D825,products!$A$1:$A$49,0),MATCH(orders!M$1,products!$A$1:$G$1,0))</f>
        <v>1</v>
      </c>
      <c r="N825" s="4">
        <f>INDEX(products!$A$1:$G$49,MATCH(orders!$D825,products!$A$1:$A$49,0),MATCH(orders!N$1,products!$A$1:$G$1,0))</f>
        <v>15.85</v>
      </c>
      <c r="O825" s="13">
        <f t="shared" si="60"/>
        <v>47.55</v>
      </c>
      <c r="P825" s="13">
        <f>_xlfn.XLOOKUP(Orders[[#This Row],[Product ID]],products!$A$1:$A$49,products!$G$1:$G$49,,0)</f>
        <v>2.0605000000000002</v>
      </c>
      <c r="Q825" s="13">
        <f t="shared" si="61"/>
        <v>6.1815000000000007</v>
      </c>
      <c r="R825" t="str">
        <f t="shared" si="63"/>
        <v>Liberica</v>
      </c>
      <c r="S825" t="str">
        <f t="shared" si="64"/>
        <v>Light</v>
      </c>
      <c r="T825" t="str">
        <f>_xlfn.XLOOKUP(Orders[[#This Row],[Customer ID]],customers!$A$1:$A$1001,customers!$I$1:$I$1001,,0)</f>
        <v>Yes</v>
      </c>
    </row>
    <row r="826" spans="1:20" x14ac:dyDescent="0.35">
      <c r="A826" s="2" t="s">
        <v>5147</v>
      </c>
      <c r="B826" s="3">
        <v>43781</v>
      </c>
      <c r="C826" s="2" t="s">
        <v>5148</v>
      </c>
      <c r="D826" t="s">
        <v>6152</v>
      </c>
      <c r="E826" t="str">
        <f t="shared" si="62"/>
        <v>Arabica-Medium-0.2</v>
      </c>
      <c r="F826" s="2">
        <v>5</v>
      </c>
      <c r="G826" s="2" t="str" cm="1">
        <f t="array" ref="G826">_xlfn.XLOOKUP(C826, customers!$A$1:A1825,customers!$B$1:B1825,,0)</f>
        <v>Correy Bourner</v>
      </c>
      <c r="H826" s="2" t="str" cm="1">
        <f t="array" ref="H826">IF(_xlfn.XLOOKUP(C826,customers!$A$1:A1825,customers!$C$1:C1825,,0) = 0,"", _xlfn.XLOOKUP(C826,customers!$A$1:A1825,customers!$C$1:C1825,,0))</f>
        <v>cbournermw@chronoengine.com</v>
      </c>
      <c r="I826" s="2" t="str">
        <f>_xlfn.XLOOKUP(C826,customers!$A$1:$A$1001,customers!$G$1:$G$1001,,0)</f>
        <v>United States</v>
      </c>
      <c r="J826" s="2" t="str">
        <f>_xlfn.XLOOKUP(Orders[[#This Row],[Customer ID]],customers!$A$1:$A$1001,customers!$F$1:$F$1001,,0)</f>
        <v>Charlotte</v>
      </c>
      <c r="K826" t="str">
        <f>INDEX(products!$A$1:$G$49,MATCH(orders!$D826,products!$A$1:$A$49,0),MATCH(orders!K$1,products!$A$1:$G$1,0))</f>
        <v>Ara</v>
      </c>
      <c r="L826" t="str">
        <f>INDEX(products!$A$1:$G$49,MATCH(orders!$D826,products!$A$1:$A$49,0),MATCH(orders!L$1,products!$A$1:$G$1,0))</f>
        <v>M</v>
      </c>
      <c r="M826" s="14">
        <f>INDEX(products!$A$1:$G$49,MATCH(orders!$D826,products!$A$1:$A$49,0),MATCH(orders!M$1,products!$A$1:$G$1,0))</f>
        <v>0.2</v>
      </c>
      <c r="N826" s="4">
        <f>INDEX(products!$A$1:$G$49,MATCH(orders!$D826,products!$A$1:$A$49,0),MATCH(orders!N$1,products!$A$1:$G$1,0))</f>
        <v>3.375</v>
      </c>
      <c r="O826" s="13">
        <f t="shared" si="60"/>
        <v>16.875</v>
      </c>
      <c r="P826" s="13">
        <f>_xlfn.XLOOKUP(Orders[[#This Row],[Product ID]],products!$A$1:$A$49,products!$G$1:$G$49,,0)</f>
        <v>0.30374999999999996</v>
      </c>
      <c r="Q826" s="13">
        <f t="shared" si="61"/>
        <v>1.5187499999999998</v>
      </c>
      <c r="R826" t="str">
        <f t="shared" si="63"/>
        <v>Arabica</v>
      </c>
      <c r="S826" t="str">
        <f t="shared" si="64"/>
        <v>Medium</v>
      </c>
      <c r="T826" t="str">
        <f>_xlfn.XLOOKUP(Orders[[#This Row],[Customer ID]],customers!$A$1:$A$1001,customers!$I$1:$I$1001,,0)</f>
        <v>Yes</v>
      </c>
    </row>
    <row r="827" spans="1:20" x14ac:dyDescent="0.35">
      <c r="A827" s="2" t="s">
        <v>5152</v>
      </c>
      <c r="B827" s="3">
        <v>44603</v>
      </c>
      <c r="C827" s="2" t="s">
        <v>5188</v>
      </c>
      <c r="D827" t="s">
        <v>6147</v>
      </c>
      <c r="E827" t="str">
        <f t="shared" si="62"/>
        <v>Arabica-Dark-1</v>
      </c>
      <c r="F827" s="2">
        <v>3</v>
      </c>
      <c r="G827" s="2" t="str" cm="1">
        <f t="array" ref="G827">_xlfn.XLOOKUP(C827, customers!$A$1:A1826,customers!$B$1:B1826,,0)</f>
        <v>Odelia Skerme</v>
      </c>
      <c r="H827" s="2" t="str" cm="1">
        <f t="array" ref="H827">IF(_xlfn.XLOOKUP(C827,customers!$A$1:A1826,customers!$C$1:C1826,,0) = 0,"", _xlfn.XLOOKUP(C827,customers!$A$1:A1826,customers!$C$1:C1826,,0))</f>
        <v>oskermen3@hatena.ne.jp</v>
      </c>
      <c r="I827" s="2" t="str">
        <f>_xlfn.XLOOKUP(C827,customers!$A$1:$A$1001,customers!$G$1:$G$1001,,0)</f>
        <v>United States</v>
      </c>
      <c r="J827" s="2" t="str">
        <f>_xlfn.XLOOKUP(Orders[[#This Row],[Customer ID]],customers!$A$1:$A$1001,customers!$F$1:$F$1001,,0)</f>
        <v>Oklahoma City</v>
      </c>
      <c r="K827" t="str">
        <f>INDEX(products!$A$1:$G$49,MATCH(orders!$D827,products!$A$1:$A$49,0),MATCH(orders!K$1,products!$A$1:$G$1,0))</f>
        <v>Ara</v>
      </c>
      <c r="L827" t="str">
        <f>INDEX(products!$A$1:$G$49,MATCH(orders!$D827,products!$A$1:$A$49,0),MATCH(orders!L$1,products!$A$1:$G$1,0))</f>
        <v>D</v>
      </c>
      <c r="M827" s="14">
        <f>INDEX(products!$A$1:$G$49,MATCH(orders!$D827,products!$A$1:$A$49,0),MATCH(orders!M$1,products!$A$1:$G$1,0))</f>
        <v>1</v>
      </c>
      <c r="N827" s="4">
        <f>INDEX(products!$A$1:$G$49,MATCH(orders!$D827,products!$A$1:$A$49,0),MATCH(orders!N$1,products!$A$1:$G$1,0))</f>
        <v>9.9499999999999993</v>
      </c>
      <c r="O827" s="13">
        <f t="shared" si="60"/>
        <v>29.849999999999998</v>
      </c>
      <c r="P827" s="13">
        <f>_xlfn.XLOOKUP(Orders[[#This Row],[Product ID]],products!$A$1:$A$49,products!$G$1:$G$49,,0)</f>
        <v>0.89549999999999985</v>
      </c>
      <c r="Q827" s="13">
        <f t="shared" si="61"/>
        <v>2.6864999999999997</v>
      </c>
      <c r="R827" t="str">
        <f t="shared" si="63"/>
        <v>Arabica</v>
      </c>
      <c r="S827" t="str">
        <f t="shared" si="64"/>
        <v>Dark</v>
      </c>
      <c r="T827" t="str">
        <f>_xlfn.XLOOKUP(Orders[[#This Row],[Customer ID]],customers!$A$1:$A$1001,customers!$I$1:$I$1001,,0)</f>
        <v>Yes</v>
      </c>
    </row>
    <row r="828" spans="1:20" x14ac:dyDescent="0.35">
      <c r="A828" s="2" t="s">
        <v>5158</v>
      </c>
      <c r="B828" s="3">
        <v>44283</v>
      </c>
      <c r="C828" s="2" t="s">
        <v>5159</v>
      </c>
      <c r="D828" t="s">
        <v>6139</v>
      </c>
      <c r="E828" t="str">
        <f t="shared" si="62"/>
        <v>Excelsa-Medium-0.5</v>
      </c>
      <c r="F828" s="2">
        <v>5</v>
      </c>
      <c r="G828" s="2" t="str" cm="1">
        <f t="array" ref="G828">_xlfn.XLOOKUP(C828, customers!$A$1:A1827,customers!$B$1:B1827,,0)</f>
        <v>Kandy Heddan</v>
      </c>
      <c r="H828" s="2" t="str" cm="1">
        <f t="array" ref="H828">IF(_xlfn.XLOOKUP(C828,customers!$A$1:A1827,customers!$C$1:C1827,,0) = 0,"", _xlfn.XLOOKUP(C828,customers!$A$1:A1827,customers!$C$1:C1827,,0))</f>
        <v>kheddanmy@icq.com</v>
      </c>
      <c r="I828" s="2" t="str">
        <f>_xlfn.XLOOKUP(C828,customers!$A$1:$A$1001,customers!$G$1:$G$1001,,0)</f>
        <v>United States</v>
      </c>
      <c r="J828" s="2" t="str">
        <f>_xlfn.XLOOKUP(Orders[[#This Row],[Customer ID]],customers!$A$1:$A$1001,customers!$F$1:$F$1001,,0)</f>
        <v>Pensacola</v>
      </c>
      <c r="K828" t="str">
        <f>INDEX(products!$A$1:$G$49,MATCH(orders!$D828,products!$A$1:$A$49,0),MATCH(orders!K$1,products!$A$1:$G$1,0))</f>
        <v>Exc</v>
      </c>
      <c r="L828" t="str">
        <f>INDEX(products!$A$1:$G$49,MATCH(orders!$D828,products!$A$1:$A$49,0),MATCH(orders!L$1,products!$A$1:$G$1,0))</f>
        <v>M</v>
      </c>
      <c r="M828" s="14">
        <f>INDEX(products!$A$1:$G$49,MATCH(orders!$D828,products!$A$1:$A$49,0),MATCH(orders!M$1,products!$A$1:$G$1,0))</f>
        <v>0.5</v>
      </c>
      <c r="N828" s="4">
        <f>INDEX(products!$A$1:$G$49,MATCH(orders!$D828,products!$A$1:$A$49,0),MATCH(orders!N$1,products!$A$1:$G$1,0))</f>
        <v>8.25</v>
      </c>
      <c r="O828" s="13">
        <f t="shared" si="60"/>
        <v>41.25</v>
      </c>
      <c r="P828" s="13">
        <f>_xlfn.XLOOKUP(Orders[[#This Row],[Product ID]],products!$A$1:$A$49,products!$G$1:$G$49,,0)</f>
        <v>0.90749999999999997</v>
      </c>
      <c r="Q828" s="13">
        <f t="shared" si="61"/>
        <v>4.5374999999999996</v>
      </c>
      <c r="R828" t="str">
        <f t="shared" si="63"/>
        <v>Execelsa</v>
      </c>
      <c r="S828" t="str">
        <f t="shared" si="64"/>
        <v>Medium</v>
      </c>
      <c r="T828" t="str">
        <f>_xlfn.XLOOKUP(Orders[[#This Row],[Customer ID]],customers!$A$1:$A$1001,customers!$I$1:$I$1001,,0)</f>
        <v>Yes</v>
      </c>
    </row>
    <row r="829" spans="1:20" x14ac:dyDescent="0.35">
      <c r="A829" s="2" t="s">
        <v>5164</v>
      </c>
      <c r="B829" s="3">
        <v>44540</v>
      </c>
      <c r="C829" s="2" t="s">
        <v>5165</v>
      </c>
      <c r="D829" t="s">
        <v>6156</v>
      </c>
      <c r="E829" t="str">
        <f t="shared" si="62"/>
        <v>Excelsa-Medium-0.2</v>
      </c>
      <c r="F829" s="2">
        <v>5</v>
      </c>
      <c r="G829" s="2" t="str" cm="1">
        <f t="array" ref="G829">_xlfn.XLOOKUP(C829, customers!$A$1:A1828,customers!$B$1:B1828,,0)</f>
        <v>Ibby Charters</v>
      </c>
      <c r="H829" s="2" t="str" cm="1">
        <f t="array" ref="H829">IF(_xlfn.XLOOKUP(C829,customers!$A$1:A1828,customers!$C$1:C1828,,0) = 0,"", _xlfn.XLOOKUP(C829,customers!$A$1:A1828,customers!$C$1:C1828,,0))</f>
        <v>ichartersmz@abc.net.au</v>
      </c>
      <c r="I829" s="2" t="str">
        <f>_xlfn.XLOOKUP(C829,customers!$A$1:$A$1001,customers!$G$1:$G$1001,,0)</f>
        <v>United States</v>
      </c>
      <c r="J829" s="2" t="str">
        <f>_xlfn.XLOOKUP(Orders[[#This Row],[Customer ID]],customers!$A$1:$A$1001,customers!$F$1:$F$1001,,0)</f>
        <v>Washington</v>
      </c>
      <c r="K829" t="str">
        <f>INDEX(products!$A$1:$G$49,MATCH(orders!$D829,products!$A$1:$A$49,0),MATCH(orders!K$1,products!$A$1:$G$1,0))</f>
        <v>Exc</v>
      </c>
      <c r="L829" t="str">
        <f>INDEX(products!$A$1:$G$49,MATCH(orders!$D829,products!$A$1:$A$49,0),MATCH(orders!L$1,products!$A$1:$G$1,0))</f>
        <v>M</v>
      </c>
      <c r="M829" s="14">
        <f>INDEX(products!$A$1:$G$49,MATCH(orders!$D829,products!$A$1:$A$49,0),MATCH(orders!M$1,products!$A$1:$G$1,0))</f>
        <v>0.2</v>
      </c>
      <c r="N829" s="4">
        <f>INDEX(products!$A$1:$G$49,MATCH(orders!$D829,products!$A$1:$A$49,0),MATCH(orders!N$1,products!$A$1:$G$1,0))</f>
        <v>4.125</v>
      </c>
      <c r="O829" s="13">
        <f t="shared" si="60"/>
        <v>20.625</v>
      </c>
      <c r="P829" s="13">
        <f>_xlfn.XLOOKUP(Orders[[#This Row],[Product ID]],products!$A$1:$A$49,products!$G$1:$G$49,,0)</f>
        <v>0.45374999999999999</v>
      </c>
      <c r="Q829" s="13">
        <f t="shared" si="61"/>
        <v>2.2687499999999998</v>
      </c>
      <c r="R829" t="str">
        <f t="shared" si="63"/>
        <v>Execelsa</v>
      </c>
      <c r="S829" t="str">
        <f t="shared" si="64"/>
        <v>Medium</v>
      </c>
      <c r="T829" t="str">
        <f>_xlfn.XLOOKUP(Orders[[#This Row],[Customer ID]],customers!$A$1:$A$1001,customers!$I$1:$I$1001,,0)</f>
        <v>No</v>
      </c>
    </row>
    <row r="830" spans="1:20" x14ac:dyDescent="0.35">
      <c r="A830" s="2" t="s">
        <v>5170</v>
      </c>
      <c r="B830" s="3">
        <v>44505</v>
      </c>
      <c r="C830" s="2" t="s">
        <v>5171</v>
      </c>
      <c r="D830" t="s">
        <v>6168</v>
      </c>
      <c r="E830" t="str">
        <f t="shared" si="62"/>
        <v>Arabica-Dark-2.5</v>
      </c>
      <c r="F830" s="2">
        <v>6</v>
      </c>
      <c r="G830" s="2" t="str" cm="1">
        <f t="array" ref="G830">_xlfn.XLOOKUP(C830, customers!$A$1:A1829,customers!$B$1:B1829,,0)</f>
        <v>Adora Roubert</v>
      </c>
      <c r="H830" s="2" t="str" cm="1">
        <f t="array" ref="H830">IF(_xlfn.XLOOKUP(C830,customers!$A$1:A1829,customers!$C$1:C1829,,0) = 0,"", _xlfn.XLOOKUP(C830,customers!$A$1:A1829,customers!$C$1:C1829,,0))</f>
        <v>aroubertn0@tmall.com</v>
      </c>
      <c r="I830" s="2" t="str">
        <f>_xlfn.XLOOKUP(C830,customers!$A$1:$A$1001,customers!$G$1:$G$1001,,0)</f>
        <v>United States</v>
      </c>
      <c r="J830" s="2" t="str">
        <f>_xlfn.XLOOKUP(Orders[[#This Row],[Customer ID]],customers!$A$1:$A$1001,customers!$F$1:$F$1001,,0)</f>
        <v>Port Saint Lucie</v>
      </c>
      <c r="K830" t="str">
        <f>INDEX(products!$A$1:$G$49,MATCH(orders!$D830,products!$A$1:$A$49,0),MATCH(orders!K$1,products!$A$1:$G$1,0))</f>
        <v>Ara</v>
      </c>
      <c r="L830" t="str">
        <f>INDEX(products!$A$1:$G$49,MATCH(orders!$D830,products!$A$1:$A$49,0),MATCH(orders!L$1,products!$A$1:$G$1,0))</f>
        <v>D</v>
      </c>
      <c r="M830" s="14">
        <f>INDEX(products!$A$1:$G$49,MATCH(orders!$D830,products!$A$1:$A$49,0),MATCH(orders!M$1,products!$A$1:$G$1,0))</f>
        <v>2.5</v>
      </c>
      <c r="N830" s="4">
        <f>INDEX(products!$A$1:$G$49,MATCH(orders!$D830,products!$A$1:$A$49,0),MATCH(orders!N$1,products!$A$1:$G$1,0))</f>
        <v>22.884999999999998</v>
      </c>
      <c r="O830" s="13">
        <f t="shared" si="60"/>
        <v>137.31</v>
      </c>
      <c r="P830" s="13">
        <f>_xlfn.XLOOKUP(Orders[[#This Row],[Product ID]],products!$A$1:$A$49,products!$G$1:$G$49,,0)</f>
        <v>2.0596499999999995</v>
      </c>
      <c r="Q830" s="13">
        <f t="shared" si="61"/>
        <v>12.357899999999997</v>
      </c>
      <c r="R830" t="str">
        <f t="shared" si="63"/>
        <v>Arabica</v>
      </c>
      <c r="S830" t="str">
        <f t="shared" si="64"/>
        <v>Dark</v>
      </c>
      <c r="T830" t="str">
        <f>_xlfn.XLOOKUP(Orders[[#This Row],[Customer ID]],customers!$A$1:$A$1001,customers!$I$1:$I$1001,,0)</f>
        <v>Yes</v>
      </c>
    </row>
    <row r="831" spans="1:20" x14ac:dyDescent="0.35">
      <c r="A831" s="2" t="s">
        <v>5176</v>
      </c>
      <c r="B831" s="3">
        <v>43890</v>
      </c>
      <c r="C831" s="2" t="s">
        <v>5177</v>
      </c>
      <c r="D831" t="s">
        <v>6154</v>
      </c>
      <c r="E831" t="str">
        <f t="shared" si="62"/>
        <v>Arabica-Dark-0.2</v>
      </c>
      <c r="F831" s="2">
        <v>1</v>
      </c>
      <c r="G831" s="2" t="str" cm="1">
        <f t="array" ref="G831">_xlfn.XLOOKUP(C831, customers!$A$1:A1830,customers!$B$1:B1830,,0)</f>
        <v>Hillel Mairs</v>
      </c>
      <c r="H831" s="2" t="str" cm="1">
        <f t="array" ref="H831">IF(_xlfn.XLOOKUP(C831,customers!$A$1:A1830,customers!$C$1:C1830,,0) = 0,"", _xlfn.XLOOKUP(C831,customers!$A$1:A1830,customers!$C$1:C1830,,0))</f>
        <v>hmairsn1@so-net.ne.jp</v>
      </c>
      <c r="I831" s="2" t="str">
        <f>_xlfn.XLOOKUP(C831,customers!$A$1:$A$1001,customers!$G$1:$G$1001,,0)</f>
        <v>United States</v>
      </c>
      <c r="J831" s="2" t="str">
        <f>_xlfn.XLOOKUP(Orders[[#This Row],[Customer ID]],customers!$A$1:$A$1001,customers!$F$1:$F$1001,,0)</f>
        <v>Huntington</v>
      </c>
      <c r="K831" t="str">
        <f>INDEX(products!$A$1:$G$49,MATCH(orders!$D831,products!$A$1:$A$49,0),MATCH(orders!K$1,products!$A$1:$G$1,0))</f>
        <v>Ara</v>
      </c>
      <c r="L831" t="str">
        <f>INDEX(products!$A$1:$G$49,MATCH(orders!$D831,products!$A$1:$A$49,0),MATCH(orders!L$1,products!$A$1:$G$1,0))</f>
        <v>D</v>
      </c>
      <c r="M831" s="14">
        <f>INDEX(products!$A$1:$G$49,MATCH(orders!$D831,products!$A$1:$A$49,0),MATCH(orders!M$1,products!$A$1:$G$1,0))</f>
        <v>0.2</v>
      </c>
      <c r="N831" s="4">
        <f>INDEX(products!$A$1:$G$49,MATCH(orders!$D831,products!$A$1:$A$49,0),MATCH(orders!N$1,products!$A$1:$G$1,0))</f>
        <v>2.9849999999999999</v>
      </c>
      <c r="O831" s="13">
        <f t="shared" si="60"/>
        <v>2.9849999999999999</v>
      </c>
      <c r="P831" s="13">
        <f>_xlfn.XLOOKUP(Orders[[#This Row],[Product ID]],products!$A$1:$A$49,products!$G$1:$G$49,,0)</f>
        <v>0.26865</v>
      </c>
      <c r="Q831" s="13">
        <f t="shared" si="61"/>
        <v>0.26865</v>
      </c>
      <c r="R831" t="str">
        <f t="shared" si="63"/>
        <v>Arabica</v>
      </c>
      <c r="S831" t="str">
        <f t="shared" si="64"/>
        <v>Dark</v>
      </c>
      <c r="T831" t="str">
        <f>_xlfn.XLOOKUP(Orders[[#This Row],[Customer ID]],customers!$A$1:$A$1001,customers!$I$1:$I$1001,,0)</f>
        <v>No</v>
      </c>
    </row>
    <row r="832" spans="1:20" x14ac:dyDescent="0.35">
      <c r="A832" s="2" t="s">
        <v>5182</v>
      </c>
      <c r="B832" s="3">
        <v>44414</v>
      </c>
      <c r="C832" s="2" t="s">
        <v>5183</v>
      </c>
      <c r="D832" t="s">
        <v>6141</v>
      </c>
      <c r="E832" t="str">
        <f t="shared" si="62"/>
        <v>Excelsa-Medium-1</v>
      </c>
      <c r="F832" s="2">
        <v>2</v>
      </c>
      <c r="G832" s="2" t="str" cm="1">
        <f t="array" ref="G832">_xlfn.XLOOKUP(C832, customers!$A$1:A1831,customers!$B$1:B1831,,0)</f>
        <v>Helaina Rainforth</v>
      </c>
      <c r="H832" s="2" t="str" cm="1">
        <f t="array" ref="H832">IF(_xlfn.XLOOKUP(C832,customers!$A$1:A1831,customers!$C$1:C1831,,0) = 0,"", _xlfn.XLOOKUP(C832,customers!$A$1:A1831,customers!$C$1:C1831,,0))</f>
        <v>hrainforthn2@blog.com</v>
      </c>
      <c r="I832" s="2" t="str">
        <f>_xlfn.XLOOKUP(C832,customers!$A$1:$A$1001,customers!$G$1:$G$1001,,0)</f>
        <v>United States</v>
      </c>
      <c r="J832" s="2" t="str">
        <f>_xlfn.XLOOKUP(Orders[[#This Row],[Customer ID]],customers!$A$1:$A$1001,customers!$F$1:$F$1001,,0)</f>
        <v>Philadelphia</v>
      </c>
      <c r="K832" t="str">
        <f>INDEX(products!$A$1:$G$49,MATCH(orders!$D832,products!$A$1:$A$49,0),MATCH(orders!K$1,products!$A$1:$G$1,0))</f>
        <v>Exc</v>
      </c>
      <c r="L832" t="str">
        <f>INDEX(products!$A$1:$G$49,MATCH(orders!$D832,products!$A$1:$A$49,0),MATCH(orders!L$1,products!$A$1:$G$1,0))</f>
        <v>M</v>
      </c>
      <c r="M832" s="14">
        <f>INDEX(products!$A$1:$G$49,MATCH(orders!$D832,products!$A$1:$A$49,0),MATCH(orders!M$1,products!$A$1:$G$1,0))</f>
        <v>1</v>
      </c>
      <c r="N832" s="4">
        <f>INDEX(products!$A$1:$G$49,MATCH(orders!$D832,products!$A$1:$A$49,0),MATCH(orders!N$1,products!$A$1:$G$1,0))</f>
        <v>13.75</v>
      </c>
      <c r="O832" s="13">
        <f t="shared" si="60"/>
        <v>27.5</v>
      </c>
      <c r="P832" s="13">
        <f>_xlfn.XLOOKUP(Orders[[#This Row],[Product ID]],products!$A$1:$A$49,products!$G$1:$G$49,,0)</f>
        <v>1.5125</v>
      </c>
      <c r="Q832" s="13">
        <f t="shared" si="61"/>
        <v>3.0249999999999999</v>
      </c>
      <c r="R832" t="str">
        <f t="shared" si="63"/>
        <v>Execelsa</v>
      </c>
      <c r="S832" t="str">
        <f t="shared" si="64"/>
        <v>Medium</v>
      </c>
      <c r="T832" t="str">
        <f>_xlfn.XLOOKUP(Orders[[#This Row],[Customer ID]],customers!$A$1:$A$1001,customers!$I$1:$I$1001,,0)</f>
        <v>No</v>
      </c>
    </row>
    <row r="833" spans="1:20" x14ac:dyDescent="0.35">
      <c r="A833" s="2" t="s">
        <v>5182</v>
      </c>
      <c r="B833" s="3">
        <v>44414</v>
      </c>
      <c r="C833" s="2" t="s">
        <v>5183</v>
      </c>
      <c r="D833" t="s">
        <v>6154</v>
      </c>
      <c r="E833" t="str">
        <f t="shared" si="62"/>
        <v>Arabica-Dark-0.2</v>
      </c>
      <c r="F833" s="2">
        <v>2</v>
      </c>
      <c r="G833" s="2" t="str" cm="1">
        <f t="array" ref="G833">_xlfn.XLOOKUP(C833, customers!$A$1:A1832,customers!$B$1:B1832,,0)</f>
        <v>Helaina Rainforth</v>
      </c>
      <c r="H833" s="2" t="str" cm="1">
        <f t="array" ref="H833">IF(_xlfn.XLOOKUP(C833,customers!$A$1:A1832,customers!$C$1:C1832,,0) = 0,"", _xlfn.XLOOKUP(C833,customers!$A$1:A1832,customers!$C$1:C1832,,0))</f>
        <v>hrainforthn2@blog.com</v>
      </c>
      <c r="I833" s="2" t="str">
        <f>_xlfn.XLOOKUP(C833,customers!$A$1:$A$1001,customers!$G$1:$G$1001,,0)</f>
        <v>United States</v>
      </c>
      <c r="J833" s="2" t="str">
        <f>_xlfn.XLOOKUP(Orders[[#This Row],[Customer ID]],customers!$A$1:$A$1001,customers!$F$1:$F$1001,,0)</f>
        <v>Philadelphia</v>
      </c>
      <c r="K833" t="str">
        <f>INDEX(products!$A$1:$G$49,MATCH(orders!$D833,products!$A$1:$A$49,0),MATCH(orders!K$1,products!$A$1:$G$1,0))</f>
        <v>Ara</v>
      </c>
      <c r="L833" t="str">
        <f>INDEX(products!$A$1:$G$49,MATCH(orders!$D833,products!$A$1:$A$49,0),MATCH(orders!L$1,products!$A$1:$G$1,0))</f>
        <v>D</v>
      </c>
      <c r="M833" s="14">
        <f>INDEX(products!$A$1:$G$49,MATCH(orders!$D833,products!$A$1:$A$49,0),MATCH(orders!M$1,products!$A$1:$G$1,0))</f>
        <v>0.2</v>
      </c>
      <c r="N833" s="4">
        <f>INDEX(products!$A$1:$G$49,MATCH(orders!$D833,products!$A$1:$A$49,0),MATCH(orders!N$1,products!$A$1:$G$1,0))</f>
        <v>2.9849999999999999</v>
      </c>
      <c r="O833" s="13">
        <f t="shared" si="60"/>
        <v>5.97</v>
      </c>
      <c r="P833" s="13">
        <f>_xlfn.XLOOKUP(Orders[[#This Row],[Product ID]],products!$A$1:$A$49,products!$G$1:$G$49,,0)</f>
        <v>0.26865</v>
      </c>
      <c r="Q833" s="13">
        <f t="shared" si="61"/>
        <v>0.5373</v>
      </c>
      <c r="R833" t="str">
        <f t="shared" si="63"/>
        <v>Arabica</v>
      </c>
      <c r="S833" t="str">
        <f t="shared" si="64"/>
        <v>Dark</v>
      </c>
      <c r="T833" t="str">
        <f>_xlfn.XLOOKUP(Orders[[#This Row],[Customer ID]],customers!$A$1:$A$1001,customers!$I$1:$I$1001,,0)</f>
        <v>No</v>
      </c>
    </row>
    <row r="834" spans="1:20" x14ac:dyDescent="0.35">
      <c r="A834" s="2" t="s">
        <v>5193</v>
      </c>
      <c r="B834" s="3">
        <v>44274</v>
      </c>
      <c r="C834" s="2" t="s">
        <v>5194</v>
      </c>
      <c r="D834" t="s">
        <v>6138</v>
      </c>
      <c r="E834" t="str">
        <f t="shared" si="62"/>
        <v>Robusta-Medium-1</v>
      </c>
      <c r="F834" s="2">
        <v>6</v>
      </c>
      <c r="G834" s="2" t="str" cm="1">
        <f t="array" ref="G834">_xlfn.XLOOKUP(C834, customers!$A$1:A1833,customers!$B$1:B1833,,0)</f>
        <v>Isac Jesper</v>
      </c>
      <c r="H834" s="2" t="str" cm="1">
        <f t="array" ref="H834">IF(_xlfn.XLOOKUP(C834,customers!$A$1:A1833,customers!$C$1:C1833,,0) = 0,"", _xlfn.XLOOKUP(C834,customers!$A$1:A1833,customers!$C$1:C1833,,0))</f>
        <v>ijespern4@theglobeandmail.com</v>
      </c>
      <c r="I834" s="2" t="str">
        <f>_xlfn.XLOOKUP(C834,customers!$A$1:$A$1001,customers!$G$1:$G$1001,,0)</f>
        <v>United States</v>
      </c>
      <c r="J834" s="2" t="str">
        <f>_xlfn.XLOOKUP(Orders[[#This Row],[Customer ID]],customers!$A$1:$A$1001,customers!$F$1:$F$1001,,0)</f>
        <v>Naples</v>
      </c>
      <c r="K834" t="str">
        <f>INDEX(products!$A$1:$G$49,MATCH(orders!$D834,products!$A$1:$A$49,0),MATCH(orders!K$1,products!$A$1:$G$1,0))</f>
        <v>Rob</v>
      </c>
      <c r="L834" t="str">
        <f>INDEX(products!$A$1:$G$49,MATCH(orders!$D834,products!$A$1:$A$49,0),MATCH(orders!L$1,products!$A$1:$G$1,0))</f>
        <v>M</v>
      </c>
      <c r="M834" s="14">
        <f>INDEX(products!$A$1:$G$49,MATCH(orders!$D834,products!$A$1:$A$49,0),MATCH(orders!M$1,products!$A$1:$G$1,0))</f>
        <v>1</v>
      </c>
      <c r="N834" s="4">
        <f>INDEX(products!$A$1:$G$49,MATCH(orders!$D834,products!$A$1:$A$49,0),MATCH(orders!N$1,products!$A$1:$G$1,0))</f>
        <v>9.9499999999999993</v>
      </c>
      <c r="O834" s="13">
        <f t="shared" ref="O834:O897" si="65">N834*F834</f>
        <v>59.699999999999996</v>
      </c>
      <c r="P834" s="13">
        <f>_xlfn.XLOOKUP(Orders[[#This Row],[Product ID]],products!$A$1:$A$49,products!$G$1:$G$49,,0)</f>
        <v>0.59699999999999998</v>
      </c>
      <c r="Q834" s="13">
        <f t="shared" ref="Q834:Q897" si="66">P834*F834</f>
        <v>3.5819999999999999</v>
      </c>
      <c r="R834" t="str">
        <f t="shared" si="63"/>
        <v>Robusta</v>
      </c>
      <c r="S834" t="str">
        <f t="shared" si="64"/>
        <v>Medium</v>
      </c>
      <c r="T834" t="str">
        <f>_xlfn.XLOOKUP(Orders[[#This Row],[Customer ID]],customers!$A$1:$A$1001,customers!$I$1:$I$1001,,0)</f>
        <v>No</v>
      </c>
    </row>
    <row r="835" spans="1:20" x14ac:dyDescent="0.35">
      <c r="A835" s="2" t="s">
        <v>5199</v>
      </c>
      <c r="B835" s="3">
        <v>44302</v>
      </c>
      <c r="C835" s="2" t="s">
        <v>5200</v>
      </c>
      <c r="D835" t="s">
        <v>6149</v>
      </c>
      <c r="E835" t="str">
        <f t="shared" ref="E835:E898" si="67">IF(LEFT(D835,1)="R", "Robusta",
    IF(LEFT(D835,1)="A", "Arabica",
        IF(LEFT(D835,1)="E", "Excelsa",
            IF(LEFT(D835,1)="L", "Liberica", "")
        )
    )
) &amp; "-" &amp;
IF(MID(D835,3,1)="D", "Dark",
    IF(MID(D835,3,1)="M", "Medium",
        IF(MID(D835,3,1)="L", "Light", "")
    )
) &amp; "-" &amp;
MID(D835,5,LEN(D835)-4)</f>
        <v>Robusta-Dark-2.5</v>
      </c>
      <c r="F835" s="2">
        <v>4</v>
      </c>
      <c r="G835" s="2" t="str" cm="1">
        <f t="array" ref="G835">_xlfn.XLOOKUP(C835, customers!$A$1:A1834,customers!$B$1:B1834,,0)</f>
        <v>Lenette Dwerryhouse</v>
      </c>
      <c r="H835" s="2" t="str" cm="1">
        <f t="array" ref="H835">IF(_xlfn.XLOOKUP(C835,customers!$A$1:A1834,customers!$C$1:C1834,,0) = 0,"", _xlfn.XLOOKUP(C835,customers!$A$1:A1834,customers!$C$1:C1834,,0))</f>
        <v>ldwerryhousen5@gravatar.com</v>
      </c>
      <c r="I835" s="2" t="str">
        <f>_xlfn.XLOOKUP(C835,customers!$A$1:$A$1001,customers!$G$1:$G$1001,,0)</f>
        <v>United States</v>
      </c>
      <c r="J835" s="2" t="str">
        <f>_xlfn.XLOOKUP(Orders[[#This Row],[Customer ID]],customers!$A$1:$A$1001,customers!$F$1:$F$1001,,0)</f>
        <v>Fort Worth</v>
      </c>
      <c r="K835" t="str">
        <f>INDEX(products!$A$1:$G$49,MATCH(orders!$D835,products!$A$1:$A$49,0),MATCH(orders!K$1,products!$A$1:$G$1,0))</f>
        <v>Rob</v>
      </c>
      <c r="L835" t="str">
        <f>INDEX(products!$A$1:$G$49,MATCH(orders!$D835,products!$A$1:$A$49,0),MATCH(orders!L$1,products!$A$1:$G$1,0))</f>
        <v>D</v>
      </c>
      <c r="M835" s="14">
        <f>INDEX(products!$A$1:$G$49,MATCH(orders!$D835,products!$A$1:$A$49,0),MATCH(orders!M$1,products!$A$1:$G$1,0))</f>
        <v>2.5</v>
      </c>
      <c r="N835" s="4">
        <f>INDEX(products!$A$1:$G$49,MATCH(orders!$D835,products!$A$1:$A$49,0),MATCH(orders!N$1,products!$A$1:$G$1,0))</f>
        <v>20.584999999999997</v>
      </c>
      <c r="O835" s="13">
        <f t="shared" si="65"/>
        <v>82.339999999999989</v>
      </c>
      <c r="P835" s="13">
        <f>_xlfn.XLOOKUP(Orders[[#This Row],[Product ID]],products!$A$1:$A$49,products!$G$1:$G$49,,0)</f>
        <v>1.2350999999999999</v>
      </c>
      <c r="Q835" s="13">
        <f t="shared" si="66"/>
        <v>4.9403999999999995</v>
      </c>
      <c r="R835" t="str">
        <f t="shared" ref="R835:R898" si="68">IF(K835="Rob","Robusta",IF(K835="Exc","Execelsa",IF(K835="Ara","Arabica",IF(K835="Lib","Liberica",""))))</f>
        <v>Robusta</v>
      </c>
      <c r="S835" t="str">
        <f t="shared" ref="S835:S898" si="69" xml:space="preserve"> IF(L835="M", "Medium", IF(L835="L","Light",IF(L835="D","Dark","")))</f>
        <v>Dark</v>
      </c>
      <c r="T835" t="str">
        <f>_xlfn.XLOOKUP(Orders[[#This Row],[Customer ID]],customers!$A$1:$A$1001,customers!$I$1:$I$1001,,0)</f>
        <v>Yes</v>
      </c>
    </row>
    <row r="836" spans="1:20" x14ac:dyDescent="0.35">
      <c r="A836" s="2" t="s">
        <v>5205</v>
      </c>
      <c r="B836" s="3">
        <v>44141</v>
      </c>
      <c r="C836" s="2" t="s">
        <v>5206</v>
      </c>
      <c r="D836" t="s">
        <v>6168</v>
      </c>
      <c r="E836" t="str">
        <f t="shared" si="67"/>
        <v>Arabica-Dark-2.5</v>
      </c>
      <c r="F836" s="2">
        <v>1</v>
      </c>
      <c r="G836" s="2" t="str" cm="1">
        <f t="array" ref="G836">_xlfn.XLOOKUP(C836, customers!$A$1:A1835,customers!$B$1:B1835,,0)</f>
        <v>Nadeen Broomer</v>
      </c>
      <c r="H836" s="2" t="str" cm="1">
        <f t="array" ref="H836">IF(_xlfn.XLOOKUP(C836,customers!$A$1:A1835,customers!$C$1:C1835,,0) = 0,"", _xlfn.XLOOKUP(C836,customers!$A$1:A1835,customers!$C$1:C1835,,0))</f>
        <v>nbroomern6@examiner.com</v>
      </c>
      <c r="I836" s="2" t="str">
        <f>_xlfn.XLOOKUP(C836,customers!$A$1:$A$1001,customers!$G$1:$G$1001,,0)</f>
        <v>United States</v>
      </c>
      <c r="J836" s="2" t="str">
        <f>_xlfn.XLOOKUP(Orders[[#This Row],[Customer ID]],customers!$A$1:$A$1001,customers!$F$1:$F$1001,,0)</f>
        <v>Omaha</v>
      </c>
      <c r="K836" t="str">
        <f>INDEX(products!$A$1:$G$49,MATCH(orders!$D836,products!$A$1:$A$49,0),MATCH(orders!K$1,products!$A$1:$G$1,0))</f>
        <v>Ara</v>
      </c>
      <c r="L836" t="str">
        <f>INDEX(products!$A$1:$G$49,MATCH(orders!$D836,products!$A$1:$A$49,0),MATCH(orders!L$1,products!$A$1:$G$1,0))</f>
        <v>D</v>
      </c>
      <c r="M836" s="14">
        <f>INDEX(products!$A$1:$G$49,MATCH(orders!$D836,products!$A$1:$A$49,0),MATCH(orders!M$1,products!$A$1:$G$1,0))</f>
        <v>2.5</v>
      </c>
      <c r="N836" s="4">
        <f>INDEX(products!$A$1:$G$49,MATCH(orders!$D836,products!$A$1:$A$49,0),MATCH(orders!N$1,products!$A$1:$G$1,0))</f>
        <v>22.884999999999998</v>
      </c>
      <c r="O836" s="13">
        <f t="shared" si="65"/>
        <v>22.884999999999998</v>
      </c>
      <c r="P836" s="13">
        <f>_xlfn.XLOOKUP(Orders[[#This Row],[Product ID]],products!$A$1:$A$49,products!$G$1:$G$49,,0)</f>
        <v>2.0596499999999995</v>
      </c>
      <c r="Q836" s="13">
        <f t="shared" si="66"/>
        <v>2.0596499999999995</v>
      </c>
      <c r="R836" t="str">
        <f t="shared" si="68"/>
        <v>Arabica</v>
      </c>
      <c r="S836" t="str">
        <f t="shared" si="69"/>
        <v>Dark</v>
      </c>
      <c r="T836" t="str">
        <f>_xlfn.XLOOKUP(Orders[[#This Row],[Customer ID]],customers!$A$1:$A$1001,customers!$I$1:$I$1001,,0)</f>
        <v>No</v>
      </c>
    </row>
    <row r="837" spans="1:20" x14ac:dyDescent="0.35">
      <c r="A837" s="2" t="s">
        <v>5211</v>
      </c>
      <c r="B837" s="3">
        <v>44270</v>
      </c>
      <c r="C837" s="2" t="s">
        <v>5212</v>
      </c>
      <c r="D837" t="s">
        <v>6176</v>
      </c>
      <c r="E837" t="str">
        <f t="shared" si="67"/>
        <v>Excelsa-Light-0.5</v>
      </c>
      <c r="F837" s="2">
        <v>1</v>
      </c>
      <c r="G837" s="2" t="str" cm="1">
        <f t="array" ref="G837">_xlfn.XLOOKUP(C837, customers!$A$1:A1836,customers!$B$1:B1836,,0)</f>
        <v>Konstantine Thoumasson</v>
      </c>
      <c r="H837" s="2" t="str" cm="1">
        <f t="array" ref="H837">IF(_xlfn.XLOOKUP(C837,customers!$A$1:A1836,customers!$C$1:C1836,,0) = 0,"", _xlfn.XLOOKUP(C837,customers!$A$1:A1836,customers!$C$1:C1836,,0))</f>
        <v>kthoumassonn7@bloglovin.com</v>
      </c>
      <c r="I837" s="2" t="str">
        <f>_xlfn.XLOOKUP(C837,customers!$A$1:$A$1001,customers!$G$1:$G$1001,,0)</f>
        <v>United States</v>
      </c>
      <c r="J837" s="2" t="str">
        <f>_xlfn.XLOOKUP(Orders[[#This Row],[Customer ID]],customers!$A$1:$A$1001,customers!$F$1:$F$1001,,0)</f>
        <v>Tucson</v>
      </c>
      <c r="K837" t="str">
        <f>INDEX(products!$A$1:$G$49,MATCH(orders!$D837,products!$A$1:$A$49,0),MATCH(orders!K$1,products!$A$1:$G$1,0))</f>
        <v>Exc</v>
      </c>
      <c r="L837" t="str">
        <f>INDEX(products!$A$1:$G$49,MATCH(orders!$D837,products!$A$1:$A$49,0),MATCH(orders!L$1,products!$A$1:$G$1,0))</f>
        <v>L</v>
      </c>
      <c r="M837" s="14">
        <f>INDEX(products!$A$1:$G$49,MATCH(orders!$D837,products!$A$1:$A$49,0),MATCH(orders!M$1,products!$A$1:$G$1,0))</f>
        <v>0.5</v>
      </c>
      <c r="N837" s="4">
        <f>INDEX(products!$A$1:$G$49,MATCH(orders!$D837,products!$A$1:$A$49,0),MATCH(orders!N$1,products!$A$1:$G$1,0))</f>
        <v>8.91</v>
      </c>
      <c r="O837" s="13">
        <f t="shared" si="65"/>
        <v>8.91</v>
      </c>
      <c r="P837" s="13">
        <f>_xlfn.XLOOKUP(Orders[[#This Row],[Product ID]],products!$A$1:$A$49,products!$G$1:$G$49,,0)</f>
        <v>0.98009999999999997</v>
      </c>
      <c r="Q837" s="13">
        <f t="shared" si="66"/>
        <v>0.98009999999999997</v>
      </c>
      <c r="R837" t="str">
        <f t="shared" si="68"/>
        <v>Execelsa</v>
      </c>
      <c r="S837" t="str">
        <f t="shared" si="69"/>
        <v>Light</v>
      </c>
      <c r="T837" t="str">
        <f>_xlfn.XLOOKUP(Orders[[#This Row],[Customer ID]],customers!$A$1:$A$1001,customers!$I$1:$I$1001,,0)</f>
        <v>Yes</v>
      </c>
    </row>
    <row r="838" spans="1:20" x14ac:dyDescent="0.35">
      <c r="A838" s="2" t="s">
        <v>5216</v>
      </c>
      <c r="B838" s="3">
        <v>44486</v>
      </c>
      <c r="C838" s="2" t="s">
        <v>5217</v>
      </c>
      <c r="D838" t="s">
        <v>6154</v>
      </c>
      <c r="E838" t="str">
        <f t="shared" si="67"/>
        <v>Arabica-Dark-0.2</v>
      </c>
      <c r="F838" s="2">
        <v>4</v>
      </c>
      <c r="G838" s="2" t="str" cm="1">
        <f t="array" ref="G838">_xlfn.XLOOKUP(C838, customers!$A$1:A1837,customers!$B$1:B1837,,0)</f>
        <v>Frans Habbergham</v>
      </c>
      <c r="H838" s="2" t="str" cm="1">
        <f t="array" ref="H838">IF(_xlfn.XLOOKUP(C838,customers!$A$1:A1837,customers!$C$1:C1837,,0) = 0,"", _xlfn.XLOOKUP(C838,customers!$A$1:A1837,customers!$C$1:C1837,,0))</f>
        <v>fhabberghamn8@discovery.com</v>
      </c>
      <c r="I838" s="2" t="str">
        <f>_xlfn.XLOOKUP(C838,customers!$A$1:$A$1001,customers!$G$1:$G$1001,,0)</f>
        <v>United States</v>
      </c>
      <c r="J838" s="2" t="str">
        <f>_xlfn.XLOOKUP(Orders[[#This Row],[Customer ID]],customers!$A$1:$A$1001,customers!$F$1:$F$1001,,0)</f>
        <v>Sparks</v>
      </c>
      <c r="K838" t="str">
        <f>INDEX(products!$A$1:$G$49,MATCH(orders!$D838,products!$A$1:$A$49,0),MATCH(orders!K$1,products!$A$1:$G$1,0))</f>
        <v>Ara</v>
      </c>
      <c r="L838" t="str">
        <f>INDEX(products!$A$1:$G$49,MATCH(orders!$D838,products!$A$1:$A$49,0),MATCH(orders!L$1,products!$A$1:$G$1,0))</f>
        <v>D</v>
      </c>
      <c r="M838" s="14">
        <f>INDEX(products!$A$1:$G$49,MATCH(orders!$D838,products!$A$1:$A$49,0),MATCH(orders!M$1,products!$A$1:$G$1,0))</f>
        <v>0.2</v>
      </c>
      <c r="N838" s="4">
        <f>INDEX(products!$A$1:$G$49,MATCH(orders!$D838,products!$A$1:$A$49,0),MATCH(orders!N$1,products!$A$1:$G$1,0))</f>
        <v>2.9849999999999999</v>
      </c>
      <c r="O838" s="13">
        <f t="shared" si="65"/>
        <v>11.94</v>
      </c>
      <c r="P838" s="13">
        <f>_xlfn.XLOOKUP(Orders[[#This Row],[Product ID]],products!$A$1:$A$49,products!$G$1:$G$49,,0)</f>
        <v>0.26865</v>
      </c>
      <c r="Q838" s="13">
        <f t="shared" si="66"/>
        <v>1.0746</v>
      </c>
      <c r="R838" t="str">
        <f t="shared" si="68"/>
        <v>Arabica</v>
      </c>
      <c r="S838" t="str">
        <f t="shared" si="69"/>
        <v>Dark</v>
      </c>
      <c r="T838" t="str">
        <f>_xlfn.XLOOKUP(Orders[[#This Row],[Customer ID]],customers!$A$1:$A$1001,customers!$I$1:$I$1001,,0)</f>
        <v>No</v>
      </c>
    </row>
    <row r="839" spans="1:20" x14ac:dyDescent="0.35">
      <c r="A839" s="2" t="s">
        <v>5222</v>
      </c>
      <c r="B839" s="3">
        <v>43715</v>
      </c>
      <c r="C839" s="2" t="s">
        <v>5113</v>
      </c>
      <c r="D839" t="s">
        <v>6181</v>
      </c>
      <c r="E839" t="str">
        <f t="shared" si="67"/>
        <v>Liberica-Medium-2.5</v>
      </c>
      <c r="F839" s="2">
        <v>3</v>
      </c>
      <c r="G839" s="2" t="str" cm="1">
        <f t="array" ref="G839">_xlfn.XLOOKUP(C839, customers!$A$1:A1838,customers!$B$1:B1838,,0)</f>
        <v>Allis Wilmore</v>
      </c>
      <c r="H839" s="2" t="str" cm="1">
        <f t="array" ref="H839">IF(_xlfn.XLOOKUP(C839,customers!$A$1:A1838,customers!$C$1:C1838,,0) = 0,"", _xlfn.XLOOKUP(C839,customers!$A$1:A1838,customers!$C$1:C1838,,0))</f>
        <v/>
      </c>
      <c r="I839" s="2" t="str">
        <f>_xlfn.XLOOKUP(C839,customers!$A$1:$A$1001,customers!$G$1:$G$1001,,0)</f>
        <v>United States</v>
      </c>
      <c r="J839" s="2" t="str">
        <f>_xlfn.XLOOKUP(Orders[[#This Row],[Customer ID]],customers!$A$1:$A$1001,customers!$F$1:$F$1001,,0)</f>
        <v>Houston</v>
      </c>
      <c r="K839" t="str">
        <f>INDEX(products!$A$1:$G$49,MATCH(orders!$D839,products!$A$1:$A$49,0),MATCH(orders!K$1,products!$A$1:$G$1,0))</f>
        <v>Lib</v>
      </c>
      <c r="L839" t="str">
        <f>INDEX(products!$A$1:$G$49,MATCH(orders!$D839,products!$A$1:$A$49,0),MATCH(orders!L$1,products!$A$1:$G$1,0))</f>
        <v>M</v>
      </c>
      <c r="M839" s="14">
        <f>INDEX(products!$A$1:$G$49,MATCH(orders!$D839,products!$A$1:$A$49,0),MATCH(orders!M$1,products!$A$1:$G$1,0))</f>
        <v>2.5</v>
      </c>
      <c r="N839" s="4">
        <f>INDEX(products!$A$1:$G$49,MATCH(orders!$D839,products!$A$1:$A$49,0),MATCH(orders!N$1,products!$A$1:$G$1,0))</f>
        <v>33.464999999999996</v>
      </c>
      <c r="O839" s="13">
        <f t="shared" si="65"/>
        <v>100.39499999999998</v>
      </c>
      <c r="P839" s="13">
        <f>_xlfn.XLOOKUP(Orders[[#This Row],[Product ID]],products!$A$1:$A$49,products!$G$1:$G$49,,0)</f>
        <v>4.3504499999999995</v>
      </c>
      <c r="Q839" s="13">
        <f t="shared" si="66"/>
        <v>13.051349999999999</v>
      </c>
      <c r="R839" t="str">
        <f t="shared" si="68"/>
        <v>Liberica</v>
      </c>
      <c r="S839" t="str">
        <f t="shared" si="69"/>
        <v>Medium</v>
      </c>
      <c r="T839" t="str">
        <f>_xlfn.XLOOKUP(Orders[[#This Row],[Customer ID]],customers!$A$1:$A$1001,customers!$I$1:$I$1001,,0)</f>
        <v>No</v>
      </c>
    </row>
    <row r="840" spans="1:20" x14ac:dyDescent="0.35">
      <c r="A840" s="2" t="s">
        <v>5228</v>
      </c>
      <c r="B840" s="3">
        <v>44755</v>
      </c>
      <c r="C840" s="2" t="s">
        <v>5229</v>
      </c>
      <c r="D840" t="s">
        <v>6168</v>
      </c>
      <c r="E840" t="str">
        <f t="shared" si="67"/>
        <v>Arabica-Dark-2.5</v>
      </c>
      <c r="F840" s="2">
        <v>5</v>
      </c>
      <c r="G840" s="2" t="str" cm="1">
        <f t="array" ref="G840">_xlfn.XLOOKUP(C840, customers!$A$1:A1839,customers!$B$1:B1839,,0)</f>
        <v>Romain Avrashin</v>
      </c>
      <c r="H840" s="2" t="str" cm="1">
        <f t="array" ref="H840">IF(_xlfn.XLOOKUP(C840,customers!$A$1:A1839,customers!$C$1:C1839,,0) = 0,"", _xlfn.XLOOKUP(C840,customers!$A$1:A1839,customers!$C$1:C1839,,0))</f>
        <v>ravrashinna@tamu.edu</v>
      </c>
      <c r="I840" s="2" t="str">
        <f>_xlfn.XLOOKUP(C840,customers!$A$1:$A$1001,customers!$G$1:$G$1001,,0)</f>
        <v>United States</v>
      </c>
      <c r="J840" s="2" t="str">
        <f>_xlfn.XLOOKUP(Orders[[#This Row],[Customer ID]],customers!$A$1:$A$1001,customers!$F$1:$F$1001,,0)</f>
        <v>Washington</v>
      </c>
      <c r="K840" t="str">
        <f>INDEX(products!$A$1:$G$49,MATCH(orders!$D840,products!$A$1:$A$49,0),MATCH(orders!K$1,products!$A$1:$G$1,0))</f>
        <v>Ara</v>
      </c>
      <c r="L840" t="str">
        <f>INDEX(products!$A$1:$G$49,MATCH(orders!$D840,products!$A$1:$A$49,0),MATCH(orders!L$1,products!$A$1:$G$1,0))</f>
        <v>D</v>
      </c>
      <c r="M840" s="14">
        <f>INDEX(products!$A$1:$G$49,MATCH(orders!$D840,products!$A$1:$A$49,0),MATCH(orders!M$1,products!$A$1:$G$1,0))</f>
        <v>2.5</v>
      </c>
      <c r="N840" s="4">
        <f>INDEX(products!$A$1:$G$49,MATCH(orders!$D840,products!$A$1:$A$49,0),MATCH(orders!N$1,products!$A$1:$G$1,0))</f>
        <v>22.884999999999998</v>
      </c>
      <c r="O840" s="13">
        <f t="shared" si="65"/>
        <v>114.42499999999998</v>
      </c>
      <c r="P840" s="13">
        <f>_xlfn.XLOOKUP(Orders[[#This Row],[Product ID]],products!$A$1:$A$49,products!$G$1:$G$49,,0)</f>
        <v>2.0596499999999995</v>
      </c>
      <c r="Q840" s="13">
        <f t="shared" si="66"/>
        <v>10.298249999999998</v>
      </c>
      <c r="R840" t="str">
        <f t="shared" si="68"/>
        <v>Arabica</v>
      </c>
      <c r="S840" t="str">
        <f t="shared" si="69"/>
        <v>Dark</v>
      </c>
      <c r="T840" t="str">
        <f>_xlfn.XLOOKUP(Orders[[#This Row],[Customer ID]],customers!$A$1:$A$1001,customers!$I$1:$I$1001,,0)</f>
        <v>No</v>
      </c>
    </row>
    <row r="841" spans="1:20" x14ac:dyDescent="0.35">
      <c r="A841" s="2" t="s">
        <v>5234</v>
      </c>
      <c r="B841" s="3">
        <v>44521</v>
      </c>
      <c r="C841" s="2" t="s">
        <v>5235</v>
      </c>
      <c r="D841" t="s">
        <v>6139</v>
      </c>
      <c r="E841" t="str">
        <f t="shared" si="67"/>
        <v>Excelsa-Medium-0.5</v>
      </c>
      <c r="F841" s="2">
        <v>5</v>
      </c>
      <c r="G841" s="2" t="str" cm="1">
        <f t="array" ref="G841">_xlfn.XLOOKUP(C841, customers!$A$1:A1840,customers!$B$1:B1840,,0)</f>
        <v>Miran Doidge</v>
      </c>
      <c r="H841" s="2" t="str" cm="1">
        <f t="array" ref="H841">IF(_xlfn.XLOOKUP(C841,customers!$A$1:A1840,customers!$C$1:C1840,,0) = 0,"", _xlfn.XLOOKUP(C841,customers!$A$1:A1840,customers!$C$1:C1840,,0))</f>
        <v>mdoidgenb@etsy.com</v>
      </c>
      <c r="I841" s="2" t="str">
        <f>_xlfn.XLOOKUP(C841,customers!$A$1:$A$1001,customers!$G$1:$G$1001,,0)</f>
        <v>United States</v>
      </c>
      <c r="J841" s="2" t="str">
        <f>_xlfn.XLOOKUP(Orders[[#This Row],[Customer ID]],customers!$A$1:$A$1001,customers!$F$1:$F$1001,,0)</f>
        <v>Salinas</v>
      </c>
      <c r="K841" t="str">
        <f>INDEX(products!$A$1:$G$49,MATCH(orders!$D841,products!$A$1:$A$49,0),MATCH(orders!K$1,products!$A$1:$G$1,0))</f>
        <v>Exc</v>
      </c>
      <c r="L841" t="str">
        <f>INDEX(products!$A$1:$G$49,MATCH(orders!$D841,products!$A$1:$A$49,0),MATCH(orders!L$1,products!$A$1:$G$1,0))</f>
        <v>M</v>
      </c>
      <c r="M841" s="14">
        <f>INDEX(products!$A$1:$G$49,MATCH(orders!$D841,products!$A$1:$A$49,0),MATCH(orders!M$1,products!$A$1:$G$1,0))</f>
        <v>0.5</v>
      </c>
      <c r="N841" s="4">
        <f>INDEX(products!$A$1:$G$49,MATCH(orders!$D841,products!$A$1:$A$49,0),MATCH(orders!N$1,products!$A$1:$G$1,0))</f>
        <v>8.25</v>
      </c>
      <c r="O841" s="13">
        <f t="shared" si="65"/>
        <v>41.25</v>
      </c>
      <c r="P841" s="13">
        <f>_xlfn.XLOOKUP(Orders[[#This Row],[Product ID]],products!$A$1:$A$49,products!$G$1:$G$49,,0)</f>
        <v>0.90749999999999997</v>
      </c>
      <c r="Q841" s="13">
        <f t="shared" si="66"/>
        <v>4.5374999999999996</v>
      </c>
      <c r="R841" t="str">
        <f t="shared" si="68"/>
        <v>Execelsa</v>
      </c>
      <c r="S841" t="str">
        <f t="shared" si="69"/>
        <v>Medium</v>
      </c>
      <c r="T841" t="str">
        <f>_xlfn.XLOOKUP(Orders[[#This Row],[Customer ID]],customers!$A$1:$A$1001,customers!$I$1:$I$1001,,0)</f>
        <v>No</v>
      </c>
    </row>
    <row r="842" spans="1:20" x14ac:dyDescent="0.35">
      <c r="A842" s="2" t="s">
        <v>5240</v>
      </c>
      <c r="B842" s="3">
        <v>44574</v>
      </c>
      <c r="C842" s="2" t="s">
        <v>5241</v>
      </c>
      <c r="D842" t="s">
        <v>6173</v>
      </c>
      <c r="E842" t="str">
        <f t="shared" si="67"/>
        <v>Robusta-Light-0.5</v>
      </c>
      <c r="F842" s="2">
        <v>4</v>
      </c>
      <c r="G842" s="2" t="str" cm="1">
        <f t="array" ref="G842">_xlfn.XLOOKUP(C842, customers!$A$1:A1841,customers!$B$1:B1841,,0)</f>
        <v>Janeva Edinboro</v>
      </c>
      <c r="H842" s="2" t="str" cm="1">
        <f t="array" ref="H842">IF(_xlfn.XLOOKUP(C842,customers!$A$1:A1841,customers!$C$1:C1841,,0) = 0,"", _xlfn.XLOOKUP(C842,customers!$A$1:A1841,customers!$C$1:C1841,,0))</f>
        <v>jedinboronc@reverbnation.com</v>
      </c>
      <c r="I842" s="2" t="str">
        <f>_xlfn.XLOOKUP(C842,customers!$A$1:$A$1001,customers!$G$1:$G$1001,,0)</f>
        <v>United States</v>
      </c>
      <c r="J842" s="2" t="str">
        <f>_xlfn.XLOOKUP(Orders[[#This Row],[Customer ID]],customers!$A$1:$A$1001,customers!$F$1:$F$1001,,0)</f>
        <v>Fort Lauderdale</v>
      </c>
      <c r="K842" t="str">
        <f>INDEX(products!$A$1:$G$49,MATCH(orders!$D842,products!$A$1:$A$49,0),MATCH(orders!K$1,products!$A$1:$G$1,0))</f>
        <v>Rob</v>
      </c>
      <c r="L842" t="str">
        <f>INDEX(products!$A$1:$G$49,MATCH(orders!$D842,products!$A$1:$A$49,0),MATCH(orders!L$1,products!$A$1:$G$1,0))</f>
        <v>L</v>
      </c>
      <c r="M842" s="14">
        <f>INDEX(products!$A$1:$G$49,MATCH(orders!$D842,products!$A$1:$A$49,0),MATCH(orders!M$1,products!$A$1:$G$1,0))</f>
        <v>0.5</v>
      </c>
      <c r="N842" s="4">
        <f>INDEX(products!$A$1:$G$49,MATCH(orders!$D842,products!$A$1:$A$49,0),MATCH(orders!N$1,products!$A$1:$G$1,0))</f>
        <v>7.169999999999999</v>
      </c>
      <c r="O842" s="13">
        <f t="shared" si="65"/>
        <v>28.679999999999996</v>
      </c>
      <c r="P842" s="13">
        <f>_xlfn.XLOOKUP(Orders[[#This Row],[Product ID]],products!$A$1:$A$49,products!$G$1:$G$49,,0)</f>
        <v>0.43019999999999992</v>
      </c>
      <c r="Q842" s="13">
        <f t="shared" si="66"/>
        <v>1.7207999999999997</v>
      </c>
      <c r="R842" t="str">
        <f t="shared" si="68"/>
        <v>Robusta</v>
      </c>
      <c r="S842" t="str">
        <f t="shared" si="69"/>
        <v>Light</v>
      </c>
      <c r="T842" t="str">
        <f>_xlfn.XLOOKUP(Orders[[#This Row],[Customer ID]],customers!$A$1:$A$1001,customers!$I$1:$I$1001,,0)</f>
        <v>Yes</v>
      </c>
    </row>
    <row r="843" spans="1:20" x14ac:dyDescent="0.35">
      <c r="A843" s="2" t="s">
        <v>5246</v>
      </c>
      <c r="B843" s="3">
        <v>44755</v>
      </c>
      <c r="C843" s="2" t="s">
        <v>5247</v>
      </c>
      <c r="D843" t="s">
        <v>6159</v>
      </c>
      <c r="E843" t="str">
        <f t="shared" si="67"/>
        <v>Liberica-Medium-0.2</v>
      </c>
      <c r="F843" s="2">
        <v>1</v>
      </c>
      <c r="G843" s="2" t="str" cm="1">
        <f t="array" ref="G843">_xlfn.XLOOKUP(C843, customers!$A$1:A1842,customers!$B$1:B1842,,0)</f>
        <v>Trumaine Tewelson</v>
      </c>
      <c r="H843" s="2" t="str" cm="1">
        <f t="array" ref="H843">IF(_xlfn.XLOOKUP(C843,customers!$A$1:A1842,customers!$C$1:C1842,,0) = 0,"", _xlfn.XLOOKUP(C843,customers!$A$1:A1842,customers!$C$1:C1842,,0))</f>
        <v>ttewelsonnd@cdbaby.com</v>
      </c>
      <c r="I843" s="2" t="str">
        <f>_xlfn.XLOOKUP(C843,customers!$A$1:$A$1001,customers!$G$1:$G$1001,,0)</f>
        <v>United States</v>
      </c>
      <c r="J843" s="2" t="str">
        <f>_xlfn.XLOOKUP(Orders[[#This Row],[Customer ID]],customers!$A$1:$A$1001,customers!$F$1:$F$1001,,0)</f>
        <v>El Paso</v>
      </c>
      <c r="K843" t="str">
        <f>INDEX(products!$A$1:$G$49,MATCH(orders!$D843,products!$A$1:$A$49,0),MATCH(orders!K$1,products!$A$1:$G$1,0))</f>
        <v>Lib</v>
      </c>
      <c r="L843" t="str">
        <f>INDEX(products!$A$1:$G$49,MATCH(orders!$D843,products!$A$1:$A$49,0),MATCH(orders!L$1,products!$A$1:$G$1,0))</f>
        <v>M</v>
      </c>
      <c r="M843" s="14">
        <f>INDEX(products!$A$1:$G$49,MATCH(orders!$D843,products!$A$1:$A$49,0),MATCH(orders!M$1,products!$A$1:$G$1,0))</f>
        <v>0.2</v>
      </c>
      <c r="N843" s="4">
        <f>INDEX(products!$A$1:$G$49,MATCH(orders!$D843,products!$A$1:$A$49,0),MATCH(orders!N$1,products!$A$1:$G$1,0))</f>
        <v>4.3650000000000002</v>
      </c>
      <c r="O843" s="13">
        <f t="shared" si="65"/>
        <v>4.3650000000000002</v>
      </c>
      <c r="P843" s="13">
        <f>_xlfn.XLOOKUP(Orders[[#This Row],[Product ID]],products!$A$1:$A$49,products!$G$1:$G$49,,0)</f>
        <v>0.56745000000000001</v>
      </c>
      <c r="Q843" s="13">
        <f t="shared" si="66"/>
        <v>0.56745000000000001</v>
      </c>
      <c r="R843" t="str">
        <f t="shared" si="68"/>
        <v>Liberica</v>
      </c>
      <c r="S843" t="str">
        <f t="shared" si="69"/>
        <v>Medium</v>
      </c>
      <c r="T843" t="str">
        <f>_xlfn.XLOOKUP(Orders[[#This Row],[Customer ID]],customers!$A$1:$A$1001,customers!$I$1:$I$1001,,0)</f>
        <v>No</v>
      </c>
    </row>
    <row r="844" spans="1:20" x14ac:dyDescent="0.35">
      <c r="A844" s="2" t="s">
        <v>5251</v>
      </c>
      <c r="B844" s="3">
        <v>44502</v>
      </c>
      <c r="C844" s="2" t="s">
        <v>5188</v>
      </c>
      <c r="D844" t="s">
        <v>6156</v>
      </c>
      <c r="E844" t="str">
        <f t="shared" si="67"/>
        <v>Excelsa-Medium-0.2</v>
      </c>
      <c r="F844" s="2">
        <v>2</v>
      </c>
      <c r="G844" s="2" t="str" cm="1">
        <f t="array" ref="G844">_xlfn.XLOOKUP(C844, customers!$A$1:A1843,customers!$B$1:B1843,,0)</f>
        <v>Odelia Skerme</v>
      </c>
      <c r="H844" s="2" t="str" cm="1">
        <f t="array" ref="H844">IF(_xlfn.XLOOKUP(C844,customers!$A$1:A1843,customers!$C$1:C1843,,0) = 0,"", _xlfn.XLOOKUP(C844,customers!$A$1:A1843,customers!$C$1:C1843,,0))</f>
        <v>oskermen3@hatena.ne.jp</v>
      </c>
      <c r="I844" s="2" t="str">
        <f>_xlfn.XLOOKUP(C844,customers!$A$1:$A$1001,customers!$G$1:$G$1001,,0)</f>
        <v>United States</v>
      </c>
      <c r="J844" s="2" t="str">
        <f>_xlfn.XLOOKUP(Orders[[#This Row],[Customer ID]],customers!$A$1:$A$1001,customers!$F$1:$F$1001,,0)</f>
        <v>Oklahoma City</v>
      </c>
      <c r="K844" t="str">
        <f>INDEX(products!$A$1:$G$49,MATCH(orders!$D844,products!$A$1:$A$49,0),MATCH(orders!K$1,products!$A$1:$G$1,0))</f>
        <v>Exc</v>
      </c>
      <c r="L844" t="str">
        <f>INDEX(products!$A$1:$G$49,MATCH(orders!$D844,products!$A$1:$A$49,0),MATCH(orders!L$1,products!$A$1:$G$1,0))</f>
        <v>M</v>
      </c>
      <c r="M844" s="14">
        <f>INDEX(products!$A$1:$G$49,MATCH(orders!$D844,products!$A$1:$A$49,0),MATCH(orders!M$1,products!$A$1:$G$1,0))</f>
        <v>0.2</v>
      </c>
      <c r="N844" s="4">
        <f>INDEX(products!$A$1:$G$49,MATCH(orders!$D844,products!$A$1:$A$49,0),MATCH(orders!N$1,products!$A$1:$G$1,0))</f>
        <v>4.125</v>
      </c>
      <c r="O844" s="13">
        <f t="shared" si="65"/>
        <v>8.25</v>
      </c>
      <c r="P844" s="13">
        <f>_xlfn.XLOOKUP(Orders[[#This Row],[Product ID]],products!$A$1:$A$49,products!$G$1:$G$49,,0)</f>
        <v>0.45374999999999999</v>
      </c>
      <c r="Q844" s="13">
        <f t="shared" si="66"/>
        <v>0.90749999999999997</v>
      </c>
      <c r="R844" t="str">
        <f t="shared" si="68"/>
        <v>Execelsa</v>
      </c>
      <c r="S844" t="str">
        <f t="shared" si="69"/>
        <v>Medium</v>
      </c>
      <c r="T844" t="str">
        <f>_xlfn.XLOOKUP(Orders[[#This Row],[Customer ID]],customers!$A$1:$A$1001,customers!$I$1:$I$1001,,0)</f>
        <v>Yes</v>
      </c>
    </row>
    <row r="845" spans="1:20" x14ac:dyDescent="0.35">
      <c r="A845" s="2" t="s">
        <v>5256</v>
      </c>
      <c r="B845" s="3">
        <v>44387</v>
      </c>
      <c r="C845" s="2" t="s">
        <v>5257</v>
      </c>
      <c r="D845" t="s">
        <v>6156</v>
      </c>
      <c r="E845" t="str">
        <f t="shared" si="67"/>
        <v>Excelsa-Medium-0.2</v>
      </c>
      <c r="F845" s="2">
        <v>2</v>
      </c>
      <c r="G845" s="2" t="str" cm="1">
        <f t="array" ref="G845">_xlfn.XLOOKUP(C845, customers!$A$1:A1844,customers!$B$1:B1844,,0)</f>
        <v>De Drewitt</v>
      </c>
      <c r="H845" s="2" t="str" cm="1">
        <f t="array" ref="H845">IF(_xlfn.XLOOKUP(C845,customers!$A$1:A1844,customers!$C$1:C1844,,0) = 0,"", _xlfn.XLOOKUP(C845,customers!$A$1:A1844,customers!$C$1:C1844,,0))</f>
        <v>ddrewittnf@mapquest.com</v>
      </c>
      <c r="I845" s="2" t="str">
        <f>_xlfn.XLOOKUP(C845,customers!$A$1:$A$1001,customers!$G$1:$G$1001,,0)</f>
        <v>United States</v>
      </c>
      <c r="J845" s="2" t="str">
        <f>_xlfn.XLOOKUP(Orders[[#This Row],[Customer ID]],customers!$A$1:$A$1001,customers!$F$1:$F$1001,,0)</f>
        <v>Alexandria</v>
      </c>
      <c r="K845" t="str">
        <f>INDEX(products!$A$1:$G$49,MATCH(orders!$D845,products!$A$1:$A$49,0),MATCH(orders!K$1,products!$A$1:$G$1,0))</f>
        <v>Exc</v>
      </c>
      <c r="L845" t="str">
        <f>INDEX(products!$A$1:$G$49,MATCH(orders!$D845,products!$A$1:$A$49,0),MATCH(orders!L$1,products!$A$1:$G$1,0))</f>
        <v>M</v>
      </c>
      <c r="M845" s="14">
        <f>INDEX(products!$A$1:$G$49,MATCH(orders!$D845,products!$A$1:$A$49,0),MATCH(orders!M$1,products!$A$1:$G$1,0))</f>
        <v>0.2</v>
      </c>
      <c r="N845" s="4">
        <f>INDEX(products!$A$1:$G$49,MATCH(orders!$D845,products!$A$1:$A$49,0),MATCH(orders!N$1,products!$A$1:$G$1,0))</f>
        <v>4.125</v>
      </c>
      <c r="O845" s="13">
        <f t="shared" si="65"/>
        <v>8.25</v>
      </c>
      <c r="P845" s="13">
        <f>_xlfn.XLOOKUP(Orders[[#This Row],[Product ID]],products!$A$1:$A$49,products!$G$1:$G$49,,0)</f>
        <v>0.45374999999999999</v>
      </c>
      <c r="Q845" s="13">
        <f t="shared" si="66"/>
        <v>0.90749999999999997</v>
      </c>
      <c r="R845" t="str">
        <f t="shared" si="68"/>
        <v>Execelsa</v>
      </c>
      <c r="S845" t="str">
        <f t="shared" si="69"/>
        <v>Medium</v>
      </c>
      <c r="T845" t="str">
        <f>_xlfn.XLOOKUP(Orders[[#This Row],[Customer ID]],customers!$A$1:$A$1001,customers!$I$1:$I$1001,,0)</f>
        <v>Yes</v>
      </c>
    </row>
    <row r="846" spans="1:20" x14ac:dyDescent="0.35">
      <c r="A846" s="2" t="s">
        <v>5262</v>
      </c>
      <c r="B846" s="3">
        <v>44476</v>
      </c>
      <c r="C846" s="2" t="s">
        <v>5263</v>
      </c>
      <c r="D846" t="s">
        <v>6158</v>
      </c>
      <c r="E846" t="str">
        <f t="shared" si="67"/>
        <v>Arabica-Dark-0.5</v>
      </c>
      <c r="F846" s="2">
        <v>6</v>
      </c>
      <c r="G846" s="2" t="str" cm="1">
        <f t="array" ref="G846">_xlfn.XLOOKUP(C846, customers!$A$1:A1845,customers!$B$1:B1845,,0)</f>
        <v>Adelheid Gladhill</v>
      </c>
      <c r="H846" s="2" t="str" cm="1">
        <f t="array" ref="H846">IF(_xlfn.XLOOKUP(C846,customers!$A$1:A1845,customers!$C$1:C1845,,0) = 0,"", _xlfn.XLOOKUP(C846,customers!$A$1:A1845,customers!$C$1:C1845,,0))</f>
        <v>agladhillng@stanford.edu</v>
      </c>
      <c r="I846" s="2" t="str">
        <f>_xlfn.XLOOKUP(C846,customers!$A$1:$A$1001,customers!$G$1:$G$1001,,0)</f>
        <v>United States</v>
      </c>
      <c r="J846" s="2" t="str">
        <f>_xlfn.XLOOKUP(Orders[[#This Row],[Customer ID]],customers!$A$1:$A$1001,customers!$F$1:$F$1001,,0)</f>
        <v>Baltimore</v>
      </c>
      <c r="K846" t="str">
        <f>INDEX(products!$A$1:$G$49,MATCH(orders!$D846,products!$A$1:$A$49,0),MATCH(orders!K$1,products!$A$1:$G$1,0))</f>
        <v>Ara</v>
      </c>
      <c r="L846" t="str">
        <f>INDEX(products!$A$1:$G$49,MATCH(orders!$D846,products!$A$1:$A$49,0),MATCH(orders!L$1,products!$A$1:$G$1,0))</f>
        <v>D</v>
      </c>
      <c r="M846" s="14">
        <f>INDEX(products!$A$1:$G$49,MATCH(orders!$D846,products!$A$1:$A$49,0),MATCH(orders!M$1,products!$A$1:$G$1,0))</f>
        <v>0.5</v>
      </c>
      <c r="N846" s="4">
        <f>INDEX(products!$A$1:$G$49,MATCH(orders!$D846,products!$A$1:$A$49,0),MATCH(orders!N$1,products!$A$1:$G$1,0))</f>
        <v>5.97</v>
      </c>
      <c r="O846" s="13">
        <f t="shared" si="65"/>
        <v>35.82</v>
      </c>
      <c r="P846" s="13">
        <f>_xlfn.XLOOKUP(Orders[[#This Row],[Product ID]],products!$A$1:$A$49,products!$G$1:$G$49,,0)</f>
        <v>0.5373</v>
      </c>
      <c r="Q846" s="13">
        <f t="shared" si="66"/>
        <v>3.2237999999999998</v>
      </c>
      <c r="R846" t="str">
        <f t="shared" si="68"/>
        <v>Arabica</v>
      </c>
      <c r="S846" t="str">
        <f t="shared" si="69"/>
        <v>Dark</v>
      </c>
      <c r="T846" t="str">
        <f>_xlfn.XLOOKUP(Orders[[#This Row],[Customer ID]],customers!$A$1:$A$1001,customers!$I$1:$I$1001,,0)</f>
        <v>Yes</v>
      </c>
    </row>
    <row r="847" spans="1:20" x14ac:dyDescent="0.35">
      <c r="A847" s="2" t="s">
        <v>5268</v>
      </c>
      <c r="B847" s="3">
        <v>43889</v>
      </c>
      <c r="C847" s="2" t="s">
        <v>5269</v>
      </c>
      <c r="D847" t="s">
        <v>6185</v>
      </c>
      <c r="E847" t="str">
        <f t="shared" si="67"/>
        <v>Excelsa-Dark-2.5</v>
      </c>
      <c r="F847" s="2">
        <v>6</v>
      </c>
      <c r="G847" s="2" t="str" cm="1">
        <f t="array" ref="G847">_xlfn.XLOOKUP(C847, customers!$A$1:A1846,customers!$B$1:B1846,,0)</f>
        <v>Murielle Lorinez</v>
      </c>
      <c r="H847" s="2" t="str" cm="1">
        <f t="array" ref="H847">IF(_xlfn.XLOOKUP(C847,customers!$A$1:A1846,customers!$C$1:C1846,,0) = 0,"", _xlfn.XLOOKUP(C847,customers!$A$1:A1846,customers!$C$1:C1846,,0))</f>
        <v>mlorineznh@whitehouse.gov</v>
      </c>
      <c r="I847" s="2" t="str">
        <f>_xlfn.XLOOKUP(C847,customers!$A$1:$A$1001,customers!$G$1:$G$1001,,0)</f>
        <v>United States</v>
      </c>
      <c r="J847" s="2" t="str">
        <f>_xlfn.XLOOKUP(Orders[[#This Row],[Customer ID]],customers!$A$1:$A$1001,customers!$F$1:$F$1001,,0)</f>
        <v>Evansville</v>
      </c>
      <c r="K847" t="str">
        <f>INDEX(products!$A$1:$G$49,MATCH(orders!$D847,products!$A$1:$A$49,0),MATCH(orders!K$1,products!$A$1:$G$1,0))</f>
        <v>Exc</v>
      </c>
      <c r="L847" t="str">
        <f>INDEX(products!$A$1:$G$49,MATCH(orders!$D847,products!$A$1:$A$49,0),MATCH(orders!L$1,products!$A$1:$G$1,0))</f>
        <v>D</v>
      </c>
      <c r="M847" s="14">
        <f>INDEX(products!$A$1:$G$49,MATCH(orders!$D847,products!$A$1:$A$49,0),MATCH(orders!M$1,products!$A$1:$G$1,0))</f>
        <v>2.5</v>
      </c>
      <c r="N847" s="4">
        <f>INDEX(products!$A$1:$G$49,MATCH(orders!$D847,products!$A$1:$A$49,0),MATCH(orders!N$1,products!$A$1:$G$1,0))</f>
        <v>27.945</v>
      </c>
      <c r="O847" s="13">
        <f t="shared" si="65"/>
        <v>167.67000000000002</v>
      </c>
      <c r="P847" s="13">
        <f>_xlfn.XLOOKUP(Orders[[#This Row],[Product ID]],products!$A$1:$A$49,products!$G$1:$G$49,,0)</f>
        <v>3.07395</v>
      </c>
      <c r="Q847" s="13">
        <f t="shared" si="66"/>
        <v>18.4437</v>
      </c>
      <c r="R847" t="str">
        <f t="shared" si="68"/>
        <v>Execelsa</v>
      </c>
      <c r="S847" t="str">
        <f t="shared" si="69"/>
        <v>Dark</v>
      </c>
      <c r="T847" t="str">
        <f>_xlfn.XLOOKUP(Orders[[#This Row],[Customer ID]],customers!$A$1:$A$1001,customers!$I$1:$I$1001,,0)</f>
        <v>No</v>
      </c>
    </row>
    <row r="848" spans="1:20" x14ac:dyDescent="0.35">
      <c r="A848" s="2" t="s">
        <v>5273</v>
      </c>
      <c r="B848" s="3">
        <v>44747</v>
      </c>
      <c r="C848" s="2" t="s">
        <v>5274</v>
      </c>
      <c r="D848" t="s">
        <v>6175</v>
      </c>
      <c r="E848" t="str">
        <f t="shared" si="67"/>
        <v>Arabica-Medium-2.5</v>
      </c>
      <c r="F848" s="2">
        <v>2</v>
      </c>
      <c r="G848" s="2" t="str" cm="1">
        <f t="array" ref="G848">_xlfn.XLOOKUP(C848, customers!$A$1:A1847,customers!$B$1:B1847,,0)</f>
        <v>Edin Mathe</v>
      </c>
      <c r="H848" s="2" t="str" cm="1">
        <f t="array" ref="H848">IF(_xlfn.XLOOKUP(C848,customers!$A$1:A1847,customers!$C$1:C1847,,0) = 0,"", _xlfn.XLOOKUP(C848,customers!$A$1:A1847,customers!$C$1:C1847,,0))</f>
        <v/>
      </c>
      <c r="I848" s="2" t="str">
        <f>_xlfn.XLOOKUP(C848,customers!$A$1:$A$1001,customers!$G$1:$G$1001,,0)</f>
        <v>United States</v>
      </c>
      <c r="J848" s="2" t="str">
        <f>_xlfn.XLOOKUP(Orders[[#This Row],[Customer ID]],customers!$A$1:$A$1001,customers!$F$1:$F$1001,,0)</f>
        <v>Lawrenceville</v>
      </c>
      <c r="K848" t="str">
        <f>INDEX(products!$A$1:$G$49,MATCH(orders!$D848,products!$A$1:$A$49,0),MATCH(orders!K$1,products!$A$1:$G$1,0))</f>
        <v>Ara</v>
      </c>
      <c r="L848" t="str">
        <f>INDEX(products!$A$1:$G$49,MATCH(orders!$D848,products!$A$1:$A$49,0),MATCH(orders!L$1,products!$A$1:$G$1,0))</f>
        <v>M</v>
      </c>
      <c r="M848" s="14">
        <f>INDEX(products!$A$1:$G$49,MATCH(orders!$D848,products!$A$1:$A$49,0),MATCH(orders!M$1,products!$A$1:$G$1,0))</f>
        <v>2.5</v>
      </c>
      <c r="N848" s="4">
        <f>INDEX(products!$A$1:$G$49,MATCH(orders!$D848,products!$A$1:$A$49,0),MATCH(orders!N$1,products!$A$1:$G$1,0))</f>
        <v>25.874999999999996</v>
      </c>
      <c r="O848" s="13">
        <f t="shared" si="65"/>
        <v>51.749999999999993</v>
      </c>
      <c r="P848" s="13">
        <f>_xlfn.XLOOKUP(Orders[[#This Row],[Product ID]],products!$A$1:$A$49,products!$G$1:$G$49,,0)</f>
        <v>2.3287499999999994</v>
      </c>
      <c r="Q848" s="13">
        <f t="shared" si="66"/>
        <v>4.6574999999999989</v>
      </c>
      <c r="R848" t="str">
        <f t="shared" si="68"/>
        <v>Arabica</v>
      </c>
      <c r="S848" t="str">
        <f t="shared" si="69"/>
        <v>Medium</v>
      </c>
      <c r="T848" t="str">
        <f>_xlfn.XLOOKUP(Orders[[#This Row],[Customer ID]],customers!$A$1:$A$1001,customers!$I$1:$I$1001,,0)</f>
        <v>Yes</v>
      </c>
    </row>
    <row r="849" spans="1:20" x14ac:dyDescent="0.35">
      <c r="A849" s="2" t="s">
        <v>5278</v>
      </c>
      <c r="B849" s="3">
        <v>44460</v>
      </c>
      <c r="C849" s="2" t="s">
        <v>5279</v>
      </c>
      <c r="D849" t="s">
        <v>6154</v>
      </c>
      <c r="E849" t="str">
        <f t="shared" si="67"/>
        <v>Arabica-Dark-0.2</v>
      </c>
      <c r="F849" s="2">
        <v>3</v>
      </c>
      <c r="G849" s="2" t="str" cm="1">
        <f t="array" ref="G849">_xlfn.XLOOKUP(C849, customers!$A$1:A1848,customers!$B$1:B1848,,0)</f>
        <v>Mordy Van Der Vlies</v>
      </c>
      <c r="H849" s="2" t="str" cm="1">
        <f t="array" ref="H849">IF(_xlfn.XLOOKUP(C849,customers!$A$1:A1848,customers!$C$1:C1848,,0) = 0,"", _xlfn.XLOOKUP(C849,customers!$A$1:A1848,customers!$C$1:C1848,,0))</f>
        <v>mvannj@wikipedia.org</v>
      </c>
      <c r="I849" s="2" t="str">
        <f>_xlfn.XLOOKUP(C849,customers!$A$1:$A$1001,customers!$G$1:$G$1001,,0)</f>
        <v>United States</v>
      </c>
      <c r="J849" s="2" t="str">
        <f>_xlfn.XLOOKUP(Orders[[#This Row],[Customer ID]],customers!$A$1:$A$1001,customers!$F$1:$F$1001,,0)</f>
        <v>Mobile</v>
      </c>
      <c r="K849" t="str">
        <f>INDEX(products!$A$1:$G$49,MATCH(orders!$D849,products!$A$1:$A$49,0),MATCH(orders!K$1,products!$A$1:$G$1,0))</f>
        <v>Ara</v>
      </c>
      <c r="L849" t="str">
        <f>INDEX(products!$A$1:$G$49,MATCH(orders!$D849,products!$A$1:$A$49,0),MATCH(orders!L$1,products!$A$1:$G$1,0))</f>
        <v>D</v>
      </c>
      <c r="M849" s="14">
        <f>INDEX(products!$A$1:$G$49,MATCH(orders!$D849,products!$A$1:$A$49,0),MATCH(orders!M$1,products!$A$1:$G$1,0))</f>
        <v>0.2</v>
      </c>
      <c r="N849" s="4">
        <f>INDEX(products!$A$1:$G$49,MATCH(orders!$D849,products!$A$1:$A$49,0),MATCH(orders!N$1,products!$A$1:$G$1,0))</f>
        <v>2.9849999999999999</v>
      </c>
      <c r="O849" s="13">
        <f t="shared" si="65"/>
        <v>8.9550000000000001</v>
      </c>
      <c r="P849" s="13">
        <f>_xlfn.XLOOKUP(Orders[[#This Row],[Product ID]],products!$A$1:$A$49,products!$G$1:$G$49,,0)</f>
        <v>0.26865</v>
      </c>
      <c r="Q849" s="13">
        <f t="shared" si="66"/>
        <v>0.80594999999999994</v>
      </c>
      <c r="R849" t="str">
        <f t="shared" si="68"/>
        <v>Arabica</v>
      </c>
      <c r="S849" t="str">
        <f t="shared" si="69"/>
        <v>Dark</v>
      </c>
      <c r="T849" t="str">
        <f>_xlfn.XLOOKUP(Orders[[#This Row],[Customer ID]],customers!$A$1:$A$1001,customers!$I$1:$I$1001,,0)</f>
        <v>Yes</v>
      </c>
    </row>
    <row r="850" spans="1:20" x14ac:dyDescent="0.35">
      <c r="A850" s="2" t="s">
        <v>5283</v>
      </c>
      <c r="B850" s="3">
        <v>43468</v>
      </c>
      <c r="C850" s="2" t="s">
        <v>5284</v>
      </c>
      <c r="D850" t="s">
        <v>6176</v>
      </c>
      <c r="E850" t="str">
        <f t="shared" si="67"/>
        <v>Excelsa-Light-0.5</v>
      </c>
      <c r="F850" s="2">
        <v>6</v>
      </c>
      <c r="G850" s="2" t="str" cm="1">
        <f t="array" ref="G850">_xlfn.XLOOKUP(C850, customers!$A$1:A1849,customers!$B$1:B1849,,0)</f>
        <v>Spencer Wastell</v>
      </c>
      <c r="H850" s="2" t="str" cm="1">
        <f t="array" ref="H850">IF(_xlfn.XLOOKUP(C850,customers!$A$1:A1849,customers!$C$1:C1849,,0) = 0,"", _xlfn.XLOOKUP(C850,customers!$A$1:A1849,customers!$C$1:C1849,,0))</f>
        <v/>
      </c>
      <c r="I850" s="2" t="str">
        <f>_xlfn.XLOOKUP(C850,customers!$A$1:$A$1001,customers!$G$1:$G$1001,,0)</f>
        <v>United States</v>
      </c>
      <c r="J850" s="2" t="str">
        <f>_xlfn.XLOOKUP(Orders[[#This Row],[Customer ID]],customers!$A$1:$A$1001,customers!$F$1:$F$1001,,0)</f>
        <v>Midland</v>
      </c>
      <c r="K850" t="str">
        <f>INDEX(products!$A$1:$G$49,MATCH(orders!$D850,products!$A$1:$A$49,0),MATCH(orders!K$1,products!$A$1:$G$1,0))</f>
        <v>Exc</v>
      </c>
      <c r="L850" t="str">
        <f>INDEX(products!$A$1:$G$49,MATCH(orders!$D850,products!$A$1:$A$49,0),MATCH(orders!L$1,products!$A$1:$G$1,0))</f>
        <v>L</v>
      </c>
      <c r="M850" s="14">
        <f>INDEX(products!$A$1:$G$49,MATCH(orders!$D850,products!$A$1:$A$49,0),MATCH(orders!M$1,products!$A$1:$G$1,0))</f>
        <v>0.5</v>
      </c>
      <c r="N850" s="4">
        <f>INDEX(products!$A$1:$G$49,MATCH(orders!$D850,products!$A$1:$A$49,0),MATCH(orders!N$1,products!$A$1:$G$1,0))</f>
        <v>8.91</v>
      </c>
      <c r="O850" s="13">
        <f t="shared" si="65"/>
        <v>53.46</v>
      </c>
      <c r="P850" s="13">
        <f>_xlfn.XLOOKUP(Orders[[#This Row],[Product ID]],products!$A$1:$A$49,products!$G$1:$G$49,,0)</f>
        <v>0.98009999999999997</v>
      </c>
      <c r="Q850" s="13">
        <f t="shared" si="66"/>
        <v>5.8805999999999994</v>
      </c>
      <c r="R850" t="str">
        <f t="shared" si="68"/>
        <v>Execelsa</v>
      </c>
      <c r="S850" t="str">
        <f t="shared" si="69"/>
        <v>Light</v>
      </c>
      <c r="T850" t="str">
        <f>_xlfn.XLOOKUP(Orders[[#This Row],[Customer ID]],customers!$A$1:$A$1001,customers!$I$1:$I$1001,,0)</f>
        <v>No</v>
      </c>
    </row>
    <row r="851" spans="1:20" x14ac:dyDescent="0.35">
      <c r="A851" s="2" t="s">
        <v>5288</v>
      </c>
      <c r="B851" s="3">
        <v>44628</v>
      </c>
      <c r="C851" s="2" t="s">
        <v>5289</v>
      </c>
      <c r="D851" t="s">
        <v>6167</v>
      </c>
      <c r="E851" t="str">
        <f t="shared" si="67"/>
        <v>Arabica-Light-0.2</v>
      </c>
      <c r="F851" s="2">
        <v>6</v>
      </c>
      <c r="G851" s="2" t="str" cm="1">
        <f t="array" ref="G851">_xlfn.XLOOKUP(C851, customers!$A$1:A1850,customers!$B$1:B1850,,0)</f>
        <v>Jemimah Ethelston</v>
      </c>
      <c r="H851" s="2" t="str" cm="1">
        <f t="array" ref="H851">IF(_xlfn.XLOOKUP(C851,customers!$A$1:A1850,customers!$C$1:C1850,,0) = 0,"", _xlfn.XLOOKUP(C851,customers!$A$1:A1850,customers!$C$1:C1850,,0))</f>
        <v>jethelstonnl@creativecommons.org</v>
      </c>
      <c r="I851" s="2" t="str">
        <f>_xlfn.XLOOKUP(C851,customers!$A$1:$A$1001,customers!$G$1:$G$1001,,0)</f>
        <v>United States</v>
      </c>
      <c r="J851" s="2" t="str">
        <f>_xlfn.XLOOKUP(Orders[[#This Row],[Customer ID]],customers!$A$1:$A$1001,customers!$F$1:$F$1001,,0)</f>
        <v>Hollywood</v>
      </c>
      <c r="K851" t="str">
        <f>INDEX(products!$A$1:$G$49,MATCH(orders!$D851,products!$A$1:$A$49,0),MATCH(orders!K$1,products!$A$1:$G$1,0))</f>
        <v>Ara</v>
      </c>
      <c r="L851" t="str">
        <f>INDEX(products!$A$1:$G$49,MATCH(orders!$D851,products!$A$1:$A$49,0),MATCH(orders!L$1,products!$A$1:$G$1,0))</f>
        <v>L</v>
      </c>
      <c r="M851" s="14">
        <f>INDEX(products!$A$1:$G$49,MATCH(orders!$D851,products!$A$1:$A$49,0),MATCH(orders!M$1,products!$A$1:$G$1,0))</f>
        <v>0.2</v>
      </c>
      <c r="N851" s="4">
        <f>INDEX(products!$A$1:$G$49,MATCH(orders!$D851,products!$A$1:$A$49,0),MATCH(orders!N$1,products!$A$1:$G$1,0))</f>
        <v>3.8849999999999998</v>
      </c>
      <c r="O851" s="13">
        <f t="shared" si="65"/>
        <v>23.31</v>
      </c>
      <c r="P851" s="13">
        <f>_xlfn.XLOOKUP(Orders[[#This Row],[Product ID]],products!$A$1:$A$49,products!$G$1:$G$49,,0)</f>
        <v>0.34964999999999996</v>
      </c>
      <c r="Q851" s="13">
        <f t="shared" si="66"/>
        <v>2.0978999999999997</v>
      </c>
      <c r="R851" t="str">
        <f t="shared" si="68"/>
        <v>Arabica</v>
      </c>
      <c r="S851" t="str">
        <f t="shared" si="69"/>
        <v>Light</v>
      </c>
      <c r="T851" t="str">
        <f>_xlfn.XLOOKUP(Orders[[#This Row],[Customer ID]],customers!$A$1:$A$1001,customers!$I$1:$I$1001,,0)</f>
        <v>Yes</v>
      </c>
    </row>
    <row r="852" spans="1:20" x14ac:dyDescent="0.35">
      <c r="A852" s="2" t="s">
        <v>5288</v>
      </c>
      <c r="B852" s="3">
        <v>44628</v>
      </c>
      <c r="C852" s="2" t="s">
        <v>5289</v>
      </c>
      <c r="D852" t="s">
        <v>6152</v>
      </c>
      <c r="E852" t="str">
        <f t="shared" si="67"/>
        <v>Arabica-Medium-0.2</v>
      </c>
      <c r="F852" s="2">
        <v>2</v>
      </c>
      <c r="G852" s="2" t="str" cm="1">
        <f t="array" ref="G852">_xlfn.XLOOKUP(C852, customers!$A$1:A1851,customers!$B$1:B1851,,0)</f>
        <v>Jemimah Ethelston</v>
      </c>
      <c r="H852" s="2" t="str" cm="1">
        <f t="array" ref="H852">IF(_xlfn.XLOOKUP(C852,customers!$A$1:A1851,customers!$C$1:C1851,,0) = 0,"", _xlfn.XLOOKUP(C852,customers!$A$1:A1851,customers!$C$1:C1851,,0))</f>
        <v>jethelstonnl@creativecommons.org</v>
      </c>
      <c r="I852" s="2" t="str">
        <f>_xlfn.XLOOKUP(C852,customers!$A$1:$A$1001,customers!$G$1:$G$1001,,0)</f>
        <v>United States</v>
      </c>
      <c r="J852" s="2" t="str">
        <f>_xlfn.XLOOKUP(Orders[[#This Row],[Customer ID]],customers!$A$1:$A$1001,customers!$F$1:$F$1001,,0)</f>
        <v>Hollywood</v>
      </c>
      <c r="K852" t="str">
        <f>INDEX(products!$A$1:$G$49,MATCH(orders!$D852,products!$A$1:$A$49,0),MATCH(orders!K$1,products!$A$1:$G$1,0))</f>
        <v>Ara</v>
      </c>
      <c r="L852" t="str">
        <f>INDEX(products!$A$1:$G$49,MATCH(orders!$D852,products!$A$1:$A$49,0),MATCH(orders!L$1,products!$A$1:$G$1,0))</f>
        <v>M</v>
      </c>
      <c r="M852" s="14">
        <f>INDEX(products!$A$1:$G$49,MATCH(orders!$D852,products!$A$1:$A$49,0),MATCH(orders!M$1,products!$A$1:$G$1,0))</f>
        <v>0.2</v>
      </c>
      <c r="N852" s="4">
        <f>INDEX(products!$A$1:$G$49,MATCH(orders!$D852,products!$A$1:$A$49,0),MATCH(orders!N$1,products!$A$1:$G$1,0))</f>
        <v>3.375</v>
      </c>
      <c r="O852" s="13">
        <f t="shared" si="65"/>
        <v>6.75</v>
      </c>
      <c r="P852" s="13">
        <f>_xlfn.XLOOKUP(Orders[[#This Row],[Product ID]],products!$A$1:$A$49,products!$G$1:$G$49,,0)</f>
        <v>0.30374999999999996</v>
      </c>
      <c r="Q852" s="13">
        <f t="shared" si="66"/>
        <v>0.60749999999999993</v>
      </c>
      <c r="R852" t="str">
        <f t="shared" si="68"/>
        <v>Arabica</v>
      </c>
      <c r="S852" t="str">
        <f t="shared" si="69"/>
        <v>Medium</v>
      </c>
      <c r="T852" t="str">
        <f>_xlfn.XLOOKUP(Orders[[#This Row],[Customer ID]],customers!$A$1:$A$1001,customers!$I$1:$I$1001,,0)</f>
        <v>Yes</v>
      </c>
    </row>
    <row r="853" spans="1:20" x14ac:dyDescent="0.35">
      <c r="A853" s="2" t="s">
        <v>5299</v>
      </c>
      <c r="B853" s="3">
        <v>43900</v>
      </c>
      <c r="C853" s="2" t="s">
        <v>5300</v>
      </c>
      <c r="D853" t="s">
        <v>6169</v>
      </c>
      <c r="E853" t="str">
        <f t="shared" si="67"/>
        <v>Liberica-Dark-0.5</v>
      </c>
      <c r="F853" s="2">
        <v>1</v>
      </c>
      <c r="G853" s="2" t="str" cm="1">
        <f t="array" ref="G853">_xlfn.XLOOKUP(C853, customers!$A$1:A1852,customers!$B$1:B1852,,0)</f>
        <v>Perice Eberz</v>
      </c>
      <c r="H853" s="2" t="str" cm="1">
        <f t="array" ref="H853">IF(_xlfn.XLOOKUP(C853,customers!$A$1:A1852,customers!$C$1:C1852,,0) = 0,"", _xlfn.XLOOKUP(C853,customers!$A$1:A1852,customers!$C$1:C1852,,0))</f>
        <v>peberznn@woothemes.com</v>
      </c>
      <c r="I853" s="2" t="str">
        <f>_xlfn.XLOOKUP(C853,customers!$A$1:$A$1001,customers!$G$1:$G$1001,,0)</f>
        <v>United States</v>
      </c>
      <c r="J853" s="2" t="str">
        <f>_xlfn.XLOOKUP(Orders[[#This Row],[Customer ID]],customers!$A$1:$A$1001,customers!$F$1:$F$1001,,0)</f>
        <v>Chico</v>
      </c>
      <c r="K853" t="str">
        <f>INDEX(products!$A$1:$G$49,MATCH(orders!$D853,products!$A$1:$A$49,0),MATCH(orders!K$1,products!$A$1:$G$1,0))</f>
        <v>Lib</v>
      </c>
      <c r="L853" t="str">
        <f>INDEX(products!$A$1:$G$49,MATCH(orders!$D853,products!$A$1:$A$49,0),MATCH(orders!L$1,products!$A$1:$G$1,0))</f>
        <v>D</v>
      </c>
      <c r="M853" s="14">
        <f>INDEX(products!$A$1:$G$49,MATCH(orders!$D853,products!$A$1:$A$49,0),MATCH(orders!M$1,products!$A$1:$G$1,0))</f>
        <v>0.5</v>
      </c>
      <c r="N853" s="4">
        <f>INDEX(products!$A$1:$G$49,MATCH(orders!$D853,products!$A$1:$A$49,0),MATCH(orders!N$1,products!$A$1:$G$1,0))</f>
        <v>7.77</v>
      </c>
      <c r="O853" s="13">
        <f t="shared" si="65"/>
        <v>7.77</v>
      </c>
      <c r="P853" s="13">
        <f>_xlfn.XLOOKUP(Orders[[#This Row],[Product ID]],products!$A$1:$A$49,products!$G$1:$G$49,,0)</f>
        <v>1.0101</v>
      </c>
      <c r="Q853" s="13">
        <f t="shared" si="66"/>
        <v>1.0101</v>
      </c>
      <c r="R853" t="str">
        <f t="shared" si="68"/>
        <v>Liberica</v>
      </c>
      <c r="S853" t="str">
        <f t="shared" si="69"/>
        <v>Dark</v>
      </c>
      <c r="T853" t="str">
        <f>_xlfn.XLOOKUP(Orders[[#This Row],[Customer ID]],customers!$A$1:$A$1001,customers!$I$1:$I$1001,,0)</f>
        <v>Yes</v>
      </c>
    </row>
    <row r="854" spans="1:20" x14ac:dyDescent="0.35">
      <c r="A854" s="2" t="s">
        <v>5305</v>
      </c>
      <c r="B854" s="3">
        <v>44527</v>
      </c>
      <c r="C854" s="2" t="s">
        <v>5306</v>
      </c>
      <c r="D854" t="s">
        <v>6165</v>
      </c>
      <c r="E854" t="str">
        <f t="shared" si="67"/>
        <v>Liberica-Dark-2.5</v>
      </c>
      <c r="F854" s="2">
        <v>4</v>
      </c>
      <c r="G854" s="2" t="str" cm="1">
        <f t="array" ref="G854">_xlfn.XLOOKUP(C854, customers!$A$1:A1853,customers!$B$1:B1853,,0)</f>
        <v>Bear Gaish</v>
      </c>
      <c r="H854" s="2" t="str" cm="1">
        <f t="array" ref="H854">IF(_xlfn.XLOOKUP(C854,customers!$A$1:A1853,customers!$C$1:C1853,,0) = 0,"", _xlfn.XLOOKUP(C854,customers!$A$1:A1853,customers!$C$1:C1853,,0))</f>
        <v>bgaishno@altervista.org</v>
      </c>
      <c r="I854" s="2" t="str">
        <f>_xlfn.XLOOKUP(C854,customers!$A$1:$A$1001,customers!$G$1:$G$1001,,0)</f>
        <v>United States</v>
      </c>
      <c r="J854" s="2" t="str">
        <f>_xlfn.XLOOKUP(Orders[[#This Row],[Customer ID]],customers!$A$1:$A$1001,customers!$F$1:$F$1001,,0)</f>
        <v>Austin</v>
      </c>
      <c r="K854" t="str">
        <f>INDEX(products!$A$1:$G$49,MATCH(orders!$D854,products!$A$1:$A$49,0),MATCH(orders!K$1,products!$A$1:$G$1,0))</f>
        <v>Lib</v>
      </c>
      <c r="L854" t="str">
        <f>INDEX(products!$A$1:$G$49,MATCH(orders!$D854,products!$A$1:$A$49,0),MATCH(orders!L$1,products!$A$1:$G$1,0))</f>
        <v>D</v>
      </c>
      <c r="M854" s="14">
        <f>INDEX(products!$A$1:$G$49,MATCH(orders!$D854,products!$A$1:$A$49,0),MATCH(orders!M$1,products!$A$1:$G$1,0))</f>
        <v>2.5</v>
      </c>
      <c r="N854" s="4">
        <f>INDEX(products!$A$1:$G$49,MATCH(orders!$D854,products!$A$1:$A$49,0),MATCH(orders!N$1,products!$A$1:$G$1,0))</f>
        <v>29.784999999999997</v>
      </c>
      <c r="O854" s="13">
        <f t="shared" si="65"/>
        <v>119.13999999999999</v>
      </c>
      <c r="P854" s="13">
        <f>_xlfn.XLOOKUP(Orders[[#This Row],[Product ID]],products!$A$1:$A$49,products!$G$1:$G$49,,0)</f>
        <v>3.8720499999999998</v>
      </c>
      <c r="Q854" s="13">
        <f t="shared" si="66"/>
        <v>15.488199999999999</v>
      </c>
      <c r="R854" t="str">
        <f t="shared" si="68"/>
        <v>Liberica</v>
      </c>
      <c r="S854" t="str">
        <f t="shared" si="69"/>
        <v>Dark</v>
      </c>
      <c r="T854" t="str">
        <f>_xlfn.XLOOKUP(Orders[[#This Row],[Customer ID]],customers!$A$1:$A$1001,customers!$I$1:$I$1001,,0)</f>
        <v>Yes</v>
      </c>
    </row>
    <row r="855" spans="1:20" x14ac:dyDescent="0.35">
      <c r="A855" s="2" t="s">
        <v>5310</v>
      </c>
      <c r="B855" s="3">
        <v>44259</v>
      </c>
      <c r="C855" s="2" t="s">
        <v>5311</v>
      </c>
      <c r="D855" t="s">
        <v>6147</v>
      </c>
      <c r="E855" t="str">
        <f t="shared" si="67"/>
        <v>Arabica-Dark-1</v>
      </c>
      <c r="F855" s="2">
        <v>2</v>
      </c>
      <c r="G855" s="2" t="str" cm="1">
        <f t="array" ref="G855">_xlfn.XLOOKUP(C855, customers!$A$1:A1854,customers!$B$1:B1854,,0)</f>
        <v>Lynnea Danton</v>
      </c>
      <c r="H855" s="2" t="str" cm="1">
        <f t="array" ref="H855">IF(_xlfn.XLOOKUP(C855,customers!$A$1:A1854,customers!$C$1:C1854,,0) = 0,"", _xlfn.XLOOKUP(C855,customers!$A$1:A1854,customers!$C$1:C1854,,0))</f>
        <v>ldantonnp@miitbeian.gov.cn</v>
      </c>
      <c r="I855" s="2" t="str">
        <f>_xlfn.XLOOKUP(C855,customers!$A$1:$A$1001,customers!$G$1:$G$1001,,0)</f>
        <v>United States</v>
      </c>
      <c r="J855" s="2" t="str">
        <f>_xlfn.XLOOKUP(Orders[[#This Row],[Customer ID]],customers!$A$1:$A$1001,customers!$F$1:$F$1001,,0)</f>
        <v>El Paso</v>
      </c>
      <c r="K855" t="str">
        <f>INDEX(products!$A$1:$G$49,MATCH(orders!$D855,products!$A$1:$A$49,0),MATCH(orders!K$1,products!$A$1:$G$1,0))</f>
        <v>Ara</v>
      </c>
      <c r="L855" t="str">
        <f>INDEX(products!$A$1:$G$49,MATCH(orders!$D855,products!$A$1:$A$49,0),MATCH(orders!L$1,products!$A$1:$G$1,0))</f>
        <v>D</v>
      </c>
      <c r="M855" s="14">
        <f>INDEX(products!$A$1:$G$49,MATCH(orders!$D855,products!$A$1:$A$49,0),MATCH(orders!M$1,products!$A$1:$G$1,0))</f>
        <v>1</v>
      </c>
      <c r="N855" s="4">
        <f>INDEX(products!$A$1:$G$49,MATCH(orders!$D855,products!$A$1:$A$49,0),MATCH(orders!N$1,products!$A$1:$G$1,0))</f>
        <v>9.9499999999999993</v>
      </c>
      <c r="O855" s="13">
        <f t="shared" si="65"/>
        <v>19.899999999999999</v>
      </c>
      <c r="P855" s="13">
        <f>_xlfn.XLOOKUP(Orders[[#This Row],[Product ID]],products!$A$1:$A$49,products!$G$1:$G$49,,0)</f>
        <v>0.89549999999999985</v>
      </c>
      <c r="Q855" s="13">
        <f t="shared" si="66"/>
        <v>1.7909999999999997</v>
      </c>
      <c r="R855" t="str">
        <f t="shared" si="68"/>
        <v>Arabica</v>
      </c>
      <c r="S855" t="str">
        <f t="shared" si="69"/>
        <v>Dark</v>
      </c>
      <c r="T855" t="str">
        <f>_xlfn.XLOOKUP(Orders[[#This Row],[Customer ID]],customers!$A$1:$A$1001,customers!$I$1:$I$1001,,0)</f>
        <v>No</v>
      </c>
    </row>
    <row r="856" spans="1:20" x14ac:dyDescent="0.35">
      <c r="A856" s="2" t="s">
        <v>5315</v>
      </c>
      <c r="B856" s="3">
        <v>44516</v>
      </c>
      <c r="C856" s="2" t="s">
        <v>5316</v>
      </c>
      <c r="D856" t="s">
        <v>6173</v>
      </c>
      <c r="E856" t="str">
        <f t="shared" si="67"/>
        <v>Robusta-Light-0.5</v>
      </c>
      <c r="F856" s="2">
        <v>5</v>
      </c>
      <c r="G856" s="2" t="str" cm="1">
        <f t="array" ref="G856">_xlfn.XLOOKUP(C856, customers!$A$1:A1855,customers!$B$1:B1855,,0)</f>
        <v>Skipton Morrall</v>
      </c>
      <c r="H856" s="2" t="str" cm="1">
        <f t="array" ref="H856">IF(_xlfn.XLOOKUP(C856,customers!$A$1:A1855,customers!$C$1:C1855,,0) = 0,"", _xlfn.XLOOKUP(C856,customers!$A$1:A1855,customers!$C$1:C1855,,0))</f>
        <v>smorrallnq@answers.com</v>
      </c>
      <c r="I856" s="2" t="str">
        <f>_xlfn.XLOOKUP(C856,customers!$A$1:$A$1001,customers!$G$1:$G$1001,,0)</f>
        <v>United States</v>
      </c>
      <c r="J856" s="2" t="str">
        <f>_xlfn.XLOOKUP(Orders[[#This Row],[Customer ID]],customers!$A$1:$A$1001,customers!$F$1:$F$1001,,0)</f>
        <v>Charleston</v>
      </c>
      <c r="K856" t="str">
        <f>INDEX(products!$A$1:$G$49,MATCH(orders!$D856,products!$A$1:$A$49,0),MATCH(orders!K$1,products!$A$1:$G$1,0))</f>
        <v>Rob</v>
      </c>
      <c r="L856" t="str">
        <f>INDEX(products!$A$1:$G$49,MATCH(orders!$D856,products!$A$1:$A$49,0),MATCH(orders!L$1,products!$A$1:$G$1,0))</f>
        <v>L</v>
      </c>
      <c r="M856" s="14">
        <f>INDEX(products!$A$1:$G$49,MATCH(orders!$D856,products!$A$1:$A$49,0),MATCH(orders!M$1,products!$A$1:$G$1,0))</f>
        <v>0.5</v>
      </c>
      <c r="N856" s="4">
        <f>INDEX(products!$A$1:$G$49,MATCH(orders!$D856,products!$A$1:$A$49,0),MATCH(orders!N$1,products!$A$1:$G$1,0))</f>
        <v>7.169999999999999</v>
      </c>
      <c r="O856" s="13">
        <f t="shared" si="65"/>
        <v>35.849999999999994</v>
      </c>
      <c r="P856" s="13">
        <f>_xlfn.XLOOKUP(Orders[[#This Row],[Product ID]],products!$A$1:$A$49,products!$G$1:$G$49,,0)</f>
        <v>0.43019999999999992</v>
      </c>
      <c r="Q856" s="13">
        <f t="shared" si="66"/>
        <v>2.1509999999999998</v>
      </c>
      <c r="R856" t="str">
        <f t="shared" si="68"/>
        <v>Robusta</v>
      </c>
      <c r="S856" t="str">
        <f t="shared" si="69"/>
        <v>Light</v>
      </c>
      <c r="T856" t="str">
        <f>_xlfn.XLOOKUP(Orders[[#This Row],[Customer ID]],customers!$A$1:$A$1001,customers!$I$1:$I$1001,,0)</f>
        <v>Yes</v>
      </c>
    </row>
    <row r="857" spans="1:20" x14ac:dyDescent="0.35">
      <c r="A857" s="2" t="s">
        <v>5321</v>
      </c>
      <c r="B857" s="3">
        <v>43632</v>
      </c>
      <c r="C857" s="2" t="s">
        <v>5322</v>
      </c>
      <c r="D857" t="s">
        <v>6165</v>
      </c>
      <c r="E857" t="str">
        <f t="shared" si="67"/>
        <v>Liberica-Dark-2.5</v>
      </c>
      <c r="F857" s="2">
        <v>3</v>
      </c>
      <c r="G857" s="2" t="str" cm="1">
        <f t="array" ref="G857">_xlfn.XLOOKUP(C857, customers!$A$1:A1856,customers!$B$1:B1856,,0)</f>
        <v>Devan Crownshaw</v>
      </c>
      <c r="H857" s="2" t="str" cm="1">
        <f t="array" ref="H857">IF(_xlfn.XLOOKUP(C857,customers!$A$1:A1856,customers!$C$1:C1856,,0) = 0,"", _xlfn.XLOOKUP(C857,customers!$A$1:A1856,customers!$C$1:C1856,,0))</f>
        <v>dcrownshawnr@photobucket.com</v>
      </c>
      <c r="I857" s="2" t="str">
        <f>_xlfn.XLOOKUP(C857,customers!$A$1:$A$1001,customers!$G$1:$G$1001,,0)</f>
        <v>United States</v>
      </c>
      <c r="J857" s="2" t="str">
        <f>_xlfn.XLOOKUP(Orders[[#This Row],[Customer ID]],customers!$A$1:$A$1001,customers!$F$1:$F$1001,,0)</f>
        <v>Allentown</v>
      </c>
      <c r="K857" t="str">
        <f>INDEX(products!$A$1:$G$49,MATCH(orders!$D857,products!$A$1:$A$49,0),MATCH(orders!K$1,products!$A$1:$G$1,0))</f>
        <v>Lib</v>
      </c>
      <c r="L857" t="str">
        <f>INDEX(products!$A$1:$G$49,MATCH(orders!$D857,products!$A$1:$A$49,0),MATCH(orders!L$1,products!$A$1:$G$1,0))</f>
        <v>D</v>
      </c>
      <c r="M857" s="14">
        <f>INDEX(products!$A$1:$G$49,MATCH(orders!$D857,products!$A$1:$A$49,0),MATCH(orders!M$1,products!$A$1:$G$1,0))</f>
        <v>2.5</v>
      </c>
      <c r="N857" s="4">
        <f>INDEX(products!$A$1:$G$49,MATCH(orders!$D857,products!$A$1:$A$49,0),MATCH(orders!N$1,products!$A$1:$G$1,0))</f>
        <v>29.784999999999997</v>
      </c>
      <c r="O857" s="13">
        <f t="shared" si="65"/>
        <v>89.35499999999999</v>
      </c>
      <c r="P857" s="13">
        <f>_xlfn.XLOOKUP(Orders[[#This Row],[Product ID]],products!$A$1:$A$49,products!$G$1:$G$49,,0)</f>
        <v>3.8720499999999998</v>
      </c>
      <c r="Q857" s="13">
        <f t="shared" si="66"/>
        <v>11.616149999999999</v>
      </c>
      <c r="R857" t="str">
        <f t="shared" si="68"/>
        <v>Liberica</v>
      </c>
      <c r="S857" t="str">
        <f t="shared" si="69"/>
        <v>Dark</v>
      </c>
      <c r="T857" t="str">
        <f>_xlfn.XLOOKUP(Orders[[#This Row],[Customer ID]],customers!$A$1:$A$1001,customers!$I$1:$I$1001,,0)</f>
        <v>No</v>
      </c>
    </row>
    <row r="858" spans="1:20" x14ac:dyDescent="0.35">
      <c r="A858" s="2" t="s">
        <v>5327</v>
      </c>
      <c r="B858" s="3">
        <v>44031</v>
      </c>
      <c r="C858" s="2" t="s">
        <v>5188</v>
      </c>
      <c r="D858" t="s">
        <v>6159</v>
      </c>
      <c r="E858" t="str">
        <f t="shared" si="67"/>
        <v>Liberica-Medium-0.2</v>
      </c>
      <c r="F858" s="2">
        <v>2</v>
      </c>
      <c r="G858" s="2" t="str" cm="1">
        <f t="array" ref="G858">_xlfn.XLOOKUP(C858, customers!$A$1:A1857,customers!$B$1:B1857,,0)</f>
        <v>Odelia Skerme</v>
      </c>
      <c r="H858" s="2" t="str" cm="1">
        <f t="array" ref="H858">IF(_xlfn.XLOOKUP(C858,customers!$A$1:A1857,customers!$C$1:C1857,,0) = 0,"", _xlfn.XLOOKUP(C858,customers!$A$1:A1857,customers!$C$1:C1857,,0))</f>
        <v>oskermen3@hatena.ne.jp</v>
      </c>
      <c r="I858" s="2" t="str">
        <f>_xlfn.XLOOKUP(C858,customers!$A$1:$A$1001,customers!$G$1:$G$1001,,0)</f>
        <v>United States</v>
      </c>
      <c r="J858" s="2" t="str">
        <f>_xlfn.XLOOKUP(Orders[[#This Row],[Customer ID]],customers!$A$1:$A$1001,customers!$F$1:$F$1001,,0)</f>
        <v>Oklahoma City</v>
      </c>
      <c r="K858" t="str">
        <f>INDEX(products!$A$1:$G$49,MATCH(orders!$D858,products!$A$1:$A$49,0),MATCH(orders!K$1,products!$A$1:$G$1,0))</f>
        <v>Lib</v>
      </c>
      <c r="L858" t="str">
        <f>INDEX(products!$A$1:$G$49,MATCH(orders!$D858,products!$A$1:$A$49,0),MATCH(orders!L$1,products!$A$1:$G$1,0))</f>
        <v>M</v>
      </c>
      <c r="M858" s="14">
        <f>INDEX(products!$A$1:$G$49,MATCH(orders!$D858,products!$A$1:$A$49,0),MATCH(orders!M$1,products!$A$1:$G$1,0))</f>
        <v>0.2</v>
      </c>
      <c r="N858" s="4">
        <f>INDEX(products!$A$1:$G$49,MATCH(orders!$D858,products!$A$1:$A$49,0),MATCH(orders!N$1,products!$A$1:$G$1,0))</f>
        <v>4.3650000000000002</v>
      </c>
      <c r="O858" s="13">
        <f t="shared" si="65"/>
        <v>8.73</v>
      </c>
      <c r="P858" s="13">
        <f>_xlfn.XLOOKUP(Orders[[#This Row],[Product ID]],products!$A$1:$A$49,products!$G$1:$G$49,,0)</f>
        <v>0.56745000000000001</v>
      </c>
      <c r="Q858" s="13">
        <f t="shared" si="66"/>
        <v>1.1349</v>
      </c>
      <c r="R858" t="str">
        <f t="shared" si="68"/>
        <v>Liberica</v>
      </c>
      <c r="S858" t="str">
        <f t="shared" si="69"/>
        <v>Medium</v>
      </c>
      <c r="T858" t="str">
        <f>_xlfn.XLOOKUP(Orders[[#This Row],[Customer ID]],customers!$A$1:$A$1001,customers!$I$1:$I$1001,,0)</f>
        <v>Yes</v>
      </c>
    </row>
    <row r="859" spans="1:20" x14ac:dyDescent="0.35">
      <c r="A859" s="2" t="s">
        <v>5333</v>
      </c>
      <c r="B859" s="3">
        <v>43889</v>
      </c>
      <c r="C859" s="2" t="s">
        <v>5334</v>
      </c>
      <c r="D859" t="s">
        <v>6142</v>
      </c>
      <c r="E859" t="str">
        <f t="shared" si="67"/>
        <v>Robusta-Light-2.5</v>
      </c>
      <c r="F859" s="2">
        <v>5</v>
      </c>
      <c r="G859" s="2" t="str" cm="1">
        <f t="array" ref="G859">_xlfn.XLOOKUP(C859, customers!$A$1:A1858,customers!$B$1:B1858,,0)</f>
        <v>Joceline Reddoch</v>
      </c>
      <c r="H859" s="2" t="str" cm="1">
        <f t="array" ref="H859">IF(_xlfn.XLOOKUP(C859,customers!$A$1:A1858,customers!$C$1:C1858,,0) = 0,"", _xlfn.XLOOKUP(C859,customers!$A$1:A1858,customers!$C$1:C1858,,0))</f>
        <v>jreddochnt@sun.com</v>
      </c>
      <c r="I859" s="2" t="str">
        <f>_xlfn.XLOOKUP(C859,customers!$A$1:$A$1001,customers!$G$1:$G$1001,,0)</f>
        <v>United States</v>
      </c>
      <c r="J859" s="2" t="str">
        <f>_xlfn.XLOOKUP(Orders[[#This Row],[Customer ID]],customers!$A$1:$A$1001,customers!$F$1:$F$1001,,0)</f>
        <v>Largo</v>
      </c>
      <c r="K859" t="str">
        <f>INDEX(products!$A$1:$G$49,MATCH(orders!$D859,products!$A$1:$A$49,0),MATCH(orders!K$1,products!$A$1:$G$1,0))</f>
        <v>Rob</v>
      </c>
      <c r="L859" t="str">
        <f>INDEX(products!$A$1:$G$49,MATCH(orders!$D859,products!$A$1:$A$49,0),MATCH(orders!L$1,products!$A$1:$G$1,0))</f>
        <v>L</v>
      </c>
      <c r="M859" s="14">
        <f>INDEX(products!$A$1:$G$49,MATCH(orders!$D859,products!$A$1:$A$49,0),MATCH(orders!M$1,products!$A$1:$G$1,0))</f>
        <v>2.5</v>
      </c>
      <c r="N859" s="4">
        <f>INDEX(products!$A$1:$G$49,MATCH(orders!$D859,products!$A$1:$A$49,0),MATCH(orders!N$1,products!$A$1:$G$1,0))</f>
        <v>27.484999999999996</v>
      </c>
      <c r="O859" s="13">
        <f t="shared" si="65"/>
        <v>137.42499999999998</v>
      </c>
      <c r="P859" s="13">
        <f>_xlfn.XLOOKUP(Orders[[#This Row],[Product ID]],products!$A$1:$A$49,products!$G$1:$G$49,,0)</f>
        <v>1.6490999999999998</v>
      </c>
      <c r="Q859" s="13">
        <f t="shared" si="66"/>
        <v>8.2454999999999998</v>
      </c>
      <c r="R859" t="str">
        <f t="shared" si="68"/>
        <v>Robusta</v>
      </c>
      <c r="S859" t="str">
        <f t="shared" si="69"/>
        <v>Light</v>
      </c>
      <c r="T859" t="str">
        <f>_xlfn.XLOOKUP(Orders[[#This Row],[Customer ID]],customers!$A$1:$A$1001,customers!$I$1:$I$1001,,0)</f>
        <v>No</v>
      </c>
    </row>
    <row r="860" spans="1:20" x14ac:dyDescent="0.35">
      <c r="A860" s="2" t="s">
        <v>5339</v>
      </c>
      <c r="B860" s="3">
        <v>43638</v>
      </c>
      <c r="C860" s="2" t="s">
        <v>5340</v>
      </c>
      <c r="D860" t="s">
        <v>6160</v>
      </c>
      <c r="E860" t="str">
        <f t="shared" si="67"/>
        <v>Liberica-Medium-0.5</v>
      </c>
      <c r="F860" s="2">
        <v>4</v>
      </c>
      <c r="G860" s="2" t="str" cm="1">
        <f t="array" ref="G860">_xlfn.XLOOKUP(C860, customers!$A$1:A1859,customers!$B$1:B1859,,0)</f>
        <v>Shelley Titley</v>
      </c>
      <c r="H860" s="2" t="str" cm="1">
        <f t="array" ref="H860">IF(_xlfn.XLOOKUP(C860,customers!$A$1:A1859,customers!$C$1:C1859,,0) = 0,"", _xlfn.XLOOKUP(C860,customers!$A$1:A1859,customers!$C$1:C1859,,0))</f>
        <v>stitleynu@whitehouse.gov</v>
      </c>
      <c r="I860" s="2" t="str">
        <f>_xlfn.XLOOKUP(C860,customers!$A$1:$A$1001,customers!$G$1:$G$1001,,0)</f>
        <v>United States</v>
      </c>
      <c r="J860" s="2" t="str">
        <f>_xlfn.XLOOKUP(Orders[[#This Row],[Customer ID]],customers!$A$1:$A$1001,customers!$F$1:$F$1001,,0)</f>
        <v>Fargo</v>
      </c>
      <c r="K860" t="str">
        <f>INDEX(products!$A$1:$G$49,MATCH(orders!$D860,products!$A$1:$A$49,0),MATCH(orders!K$1,products!$A$1:$G$1,0))</f>
        <v>Lib</v>
      </c>
      <c r="L860" t="str">
        <f>INDEX(products!$A$1:$G$49,MATCH(orders!$D860,products!$A$1:$A$49,0),MATCH(orders!L$1,products!$A$1:$G$1,0))</f>
        <v>M</v>
      </c>
      <c r="M860" s="14">
        <f>INDEX(products!$A$1:$G$49,MATCH(orders!$D860,products!$A$1:$A$49,0),MATCH(orders!M$1,products!$A$1:$G$1,0))</f>
        <v>0.5</v>
      </c>
      <c r="N860" s="4">
        <f>INDEX(products!$A$1:$G$49,MATCH(orders!$D860,products!$A$1:$A$49,0),MATCH(orders!N$1,products!$A$1:$G$1,0))</f>
        <v>8.73</v>
      </c>
      <c r="O860" s="13">
        <f t="shared" si="65"/>
        <v>34.92</v>
      </c>
      <c r="P860" s="13">
        <f>_xlfn.XLOOKUP(Orders[[#This Row],[Product ID]],products!$A$1:$A$49,products!$G$1:$G$49,,0)</f>
        <v>1.1349</v>
      </c>
      <c r="Q860" s="13">
        <f t="shared" si="66"/>
        <v>4.5396000000000001</v>
      </c>
      <c r="R860" t="str">
        <f t="shared" si="68"/>
        <v>Liberica</v>
      </c>
      <c r="S860" t="str">
        <f t="shared" si="69"/>
        <v>Medium</v>
      </c>
      <c r="T860" t="str">
        <f>_xlfn.XLOOKUP(Orders[[#This Row],[Customer ID]],customers!$A$1:$A$1001,customers!$I$1:$I$1001,,0)</f>
        <v>No</v>
      </c>
    </row>
    <row r="861" spans="1:20" x14ac:dyDescent="0.35">
      <c r="A861" s="2" t="s">
        <v>5345</v>
      </c>
      <c r="B861" s="3">
        <v>43716</v>
      </c>
      <c r="C861" s="2" t="s">
        <v>5346</v>
      </c>
      <c r="D861" t="s">
        <v>6182</v>
      </c>
      <c r="E861" t="str">
        <f t="shared" si="67"/>
        <v>Arabica-Light-2.5</v>
      </c>
      <c r="F861" s="2">
        <v>6</v>
      </c>
      <c r="G861" s="2" t="str" cm="1">
        <f t="array" ref="G861">_xlfn.XLOOKUP(C861, customers!$A$1:A1860,customers!$B$1:B1860,,0)</f>
        <v>Redd Simao</v>
      </c>
      <c r="H861" s="2" t="str" cm="1">
        <f t="array" ref="H861">IF(_xlfn.XLOOKUP(C861,customers!$A$1:A1860,customers!$C$1:C1860,,0) = 0,"", _xlfn.XLOOKUP(C861,customers!$A$1:A1860,customers!$C$1:C1860,,0))</f>
        <v>rsimaonv@simplemachines.org</v>
      </c>
      <c r="I861" s="2" t="str">
        <f>_xlfn.XLOOKUP(C861,customers!$A$1:$A$1001,customers!$G$1:$G$1001,,0)</f>
        <v>United States</v>
      </c>
      <c r="J861" s="2" t="str">
        <f>_xlfn.XLOOKUP(Orders[[#This Row],[Customer ID]],customers!$A$1:$A$1001,customers!$F$1:$F$1001,,0)</f>
        <v>Fort Smith</v>
      </c>
      <c r="K861" t="str">
        <f>INDEX(products!$A$1:$G$49,MATCH(orders!$D861,products!$A$1:$A$49,0),MATCH(orders!K$1,products!$A$1:$G$1,0))</f>
        <v>Ara</v>
      </c>
      <c r="L861" t="str">
        <f>INDEX(products!$A$1:$G$49,MATCH(orders!$D861,products!$A$1:$A$49,0),MATCH(orders!L$1,products!$A$1:$G$1,0))</f>
        <v>L</v>
      </c>
      <c r="M861" s="14">
        <f>INDEX(products!$A$1:$G$49,MATCH(orders!$D861,products!$A$1:$A$49,0),MATCH(orders!M$1,products!$A$1:$G$1,0))</f>
        <v>2.5</v>
      </c>
      <c r="N861" s="4">
        <f>INDEX(products!$A$1:$G$49,MATCH(orders!$D861,products!$A$1:$A$49,0),MATCH(orders!N$1,products!$A$1:$G$1,0))</f>
        <v>29.784999999999997</v>
      </c>
      <c r="O861" s="13">
        <f t="shared" si="65"/>
        <v>178.70999999999998</v>
      </c>
      <c r="P861" s="13">
        <f>_xlfn.XLOOKUP(Orders[[#This Row],[Product ID]],products!$A$1:$A$49,products!$G$1:$G$49,,0)</f>
        <v>2.6806499999999995</v>
      </c>
      <c r="Q861" s="13">
        <f t="shared" si="66"/>
        <v>16.083899999999996</v>
      </c>
      <c r="R861" t="str">
        <f t="shared" si="68"/>
        <v>Arabica</v>
      </c>
      <c r="S861" t="str">
        <f t="shared" si="69"/>
        <v>Light</v>
      </c>
      <c r="T861" t="str">
        <f>_xlfn.XLOOKUP(Orders[[#This Row],[Customer ID]],customers!$A$1:$A$1001,customers!$I$1:$I$1001,,0)</f>
        <v>No</v>
      </c>
    </row>
    <row r="862" spans="1:20" x14ac:dyDescent="0.35">
      <c r="A862" s="2" t="s">
        <v>5351</v>
      </c>
      <c r="B862" s="3">
        <v>44707</v>
      </c>
      <c r="C862" s="2" t="s">
        <v>5352</v>
      </c>
      <c r="D862" t="s">
        <v>6175</v>
      </c>
      <c r="E862" t="str">
        <f t="shared" si="67"/>
        <v>Arabica-Medium-2.5</v>
      </c>
      <c r="F862" s="2">
        <v>1</v>
      </c>
      <c r="G862" s="2" t="str" cm="1">
        <f t="array" ref="G862">_xlfn.XLOOKUP(C862, customers!$A$1:A1861,customers!$B$1:B1861,,0)</f>
        <v>Cece Inker</v>
      </c>
      <c r="H862" s="2" t="str" cm="1">
        <f t="array" ref="H862">IF(_xlfn.XLOOKUP(C862,customers!$A$1:A1861,customers!$C$1:C1861,,0) = 0,"", _xlfn.XLOOKUP(C862,customers!$A$1:A1861,customers!$C$1:C1861,,0))</f>
        <v/>
      </c>
      <c r="I862" s="2" t="str">
        <f>_xlfn.XLOOKUP(C862,customers!$A$1:$A$1001,customers!$G$1:$G$1001,,0)</f>
        <v>United States</v>
      </c>
      <c r="J862" s="2" t="str">
        <f>_xlfn.XLOOKUP(Orders[[#This Row],[Customer ID]],customers!$A$1:$A$1001,customers!$F$1:$F$1001,,0)</f>
        <v>Lakeland</v>
      </c>
      <c r="K862" t="str">
        <f>INDEX(products!$A$1:$G$49,MATCH(orders!$D862,products!$A$1:$A$49,0),MATCH(orders!K$1,products!$A$1:$G$1,0))</f>
        <v>Ara</v>
      </c>
      <c r="L862" t="str">
        <f>INDEX(products!$A$1:$G$49,MATCH(orders!$D862,products!$A$1:$A$49,0),MATCH(orders!L$1,products!$A$1:$G$1,0))</f>
        <v>M</v>
      </c>
      <c r="M862" s="14">
        <f>INDEX(products!$A$1:$G$49,MATCH(orders!$D862,products!$A$1:$A$49,0),MATCH(orders!M$1,products!$A$1:$G$1,0))</f>
        <v>2.5</v>
      </c>
      <c r="N862" s="4">
        <f>INDEX(products!$A$1:$G$49,MATCH(orders!$D862,products!$A$1:$A$49,0),MATCH(orders!N$1,products!$A$1:$G$1,0))</f>
        <v>25.874999999999996</v>
      </c>
      <c r="O862" s="13">
        <f t="shared" si="65"/>
        <v>25.874999999999996</v>
      </c>
      <c r="P862" s="13">
        <f>_xlfn.XLOOKUP(Orders[[#This Row],[Product ID]],products!$A$1:$A$49,products!$G$1:$G$49,,0)</f>
        <v>2.3287499999999994</v>
      </c>
      <c r="Q862" s="13">
        <f t="shared" si="66"/>
        <v>2.3287499999999994</v>
      </c>
      <c r="R862" t="str">
        <f t="shared" si="68"/>
        <v>Arabica</v>
      </c>
      <c r="S862" t="str">
        <f t="shared" si="69"/>
        <v>Medium</v>
      </c>
      <c r="T862" t="str">
        <f>_xlfn.XLOOKUP(Orders[[#This Row],[Customer ID]],customers!$A$1:$A$1001,customers!$I$1:$I$1001,,0)</f>
        <v>No</v>
      </c>
    </row>
    <row r="863" spans="1:20" x14ac:dyDescent="0.35">
      <c r="A863" s="2" t="s">
        <v>5356</v>
      </c>
      <c r="B863" s="3">
        <v>43802</v>
      </c>
      <c r="C863" s="2" t="s">
        <v>5357</v>
      </c>
      <c r="D863" t="s">
        <v>6143</v>
      </c>
      <c r="E863" t="str">
        <f t="shared" si="67"/>
        <v>Liberica-Dark-1</v>
      </c>
      <c r="F863" s="2">
        <v>6</v>
      </c>
      <c r="G863" s="2" t="str" cm="1">
        <f t="array" ref="G863">_xlfn.XLOOKUP(C863, customers!$A$1:A1862,customers!$B$1:B1862,,0)</f>
        <v>Noel Chisholm</v>
      </c>
      <c r="H863" s="2" t="str" cm="1">
        <f t="array" ref="H863">IF(_xlfn.XLOOKUP(C863,customers!$A$1:A1862,customers!$C$1:C1862,,0) = 0,"", _xlfn.XLOOKUP(C863,customers!$A$1:A1862,customers!$C$1:C1862,,0))</f>
        <v>nchisholmnx@example.com</v>
      </c>
      <c r="I863" s="2" t="str">
        <f>_xlfn.XLOOKUP(C863,customers!$A$1:$A$1001,customers!$G$1:$G$1001,,0)</f>
        <v>United States</v>
      </c>
      <c r="J863" s="2" t="str">
        <f>_xlfn.XLOOKUP(Orders[[#This Row],[Customer ID]],customers!$A$1:$A$1001,customers!$F$1:$F$1001,,0)</f>
        <v>Knoxville</v>
      </c>
      <c r="K863" t="str">
        <f>INDEX(products!$A$1:$G$49,MATCH(orders!$D863,products!$A$1:$A$49,0),MATCH(orders!K$1,products!$A$1:$G$1,0))</f>
        <v>Lib</v>
      </c>
      <c r="L863" t="str">
        <f>INDEX(products!$A$1:$G$49,MATCH(orders!$D863,products!$A$1:$A$49,0),MATCH(orders!L$1,products!$A$1:$G$1,0))</f>
        <v>D</v>
      </c>
      <c r="M863" s="14">
        <f>INDEX(products!$A$1:$G$49,MATCH(orders!$D863,products!$A$1:$A$49,0),MATCH(orders!M$1,products!$A$1:$G$1,0))</f>
        <v>1</v>
      </c>
      <c r="N863" s="4">
        <f>INDEX(products!$A$1:$G$49,MATCH(orders!$D863,products!$A$1:$A$49,0),MATCH(orders!N$1,products!$A$1:$G$1,0))</f>
        <v>12.95</v>
      </c>
      <c r="O863" s="13">
        <f t="shared" si="65"/>
        <v>77.699999999999989</v>
      </c>
      <c r="P863" s="13">
        <f>_xlfn.XLOOKUP(Orders[[#This Row],[Product ID]],products!$A$1:$A$49,products!$G$1:$G$49,,0)</f>
        <v>1.6835</v>
      </c>
      <c r="Q863" s="13">
        <f t="shared" si="66"/>
        <v>10.100999999999999</v>
      </c>
      <c r="R863" t="str">
        <f t="shared" si="68"/>
        <v>Liberica</v>
      </c>
      <c r="S863" t="str">
        <f t="shared" si="69"/>
        <v>Dark</v>
      </c>
      <c r="T863" t="str">
        <f>_xlfn.XLOOKUP(Orders[[#This Row],[Customer ID]],customers!$A$1:$A$1001,customers!$I$1:$I$1001,,0)</f>
        <v>Yes</v>
      </c>
    </row>
    <row r="864" spans="1:20" x14ac:dyDescent="0.35">
      <c r="A864" s="2" t="s">
        <v>5362</v>
      </c>
      <c r="B864" s="3">
        <v>43725</v>
      </c>
      <c r="C864" s="2" t="s">
        <v>5363</v>
      </c>
      <c r="D864" t="s">
        <v>6138</v>
      </c>
      <c r="E864" t="str">
        <f t="shared" si="67"/>
        <v>Robusta-Medium-1</v>
      </c>
      <c r="F864" s="2">
        <v>1</v>
      </c>
      <c r="G864" s="2" t="str" cm="1">
        <f t="array" ref="G864">_xlfn.XLOOKUP(C864, customers!$A$1:A1863,customers!$B$1:B1863,,0)</f>
        <v>Grazia Oats</v>
      </c>
      <c r="H864" s="2" t="str" cm="1">
        <f t="array" ref="H864">IF(_xlfn.XLOOKUP(C864,customers!$A$1:A1863,customers!$C$1:C1863,,0) = 0,"", _xlfn.XLOOKUP(C864,customers!$A$1:A1863,customers!$C$1:C1863,,0))</f>
        <v>goatsny@live.com</v>
      </c>
      <c r="I864" s="2" t="str">
        <f>_xlfn.XLOOKUP(C864,customers!$A$1:$A$1001,customers!$G$1:$G$1001,,0)</f>
        <v>United States</v>
      </c>
      <c r="J864" s="2" t="str">
        <f>_xlfn.XLOOKUP(Orders[[#This Row],[Customer ID]],customers!$A$1:$A$1001,customers!$F$1:$F$1001,,0)</f>
        <v>Los Angeles</v>
      </c>
      <c r="K864" t="str">
        <f>INDEX(products!$A$1:$G$49,MATCH(orders!$D864,products!$A$1:$A$49,0),MATCH(orders!K$1,products!$A$1:$G$1,0))</f>
        <v>Rob</v>
      </c>
      <c r="L864" t="str">
        <f>INDEX(products!$A$1:$G$49,MATCH(orders!$D864,products!$A$1:$A$49,0),MATCH(orders!L$1,products!$A$1:$G$1,0))</f>
        <v>M</v>
      </c>
      <c r="M864" s="14">
        <f>INDEX(products!$A$1:$G$49,MATCH(orders!$D864,products!$A$1:$A$49,0),MATCH(orders!M$1,products!$A$1:$G$1,0))</f>
        <v>1</v>
      </c>
      <c r="N864" s="4">
        <f>INDEX(products!$A$1:$G$49,MATCH(orders!$D864,products!$A$1:$A$49,0),MATCH(orders!N$1,products!$A$1:$G$1,0))</f>
        <v>9.9499999999999993</v>
      </c>
      <c r="O864" s="13">
        <f t="shared" si="65"/>
        <v>9.9499999999999993</v>
      </c>
      <c r="P864" s="13">
        <f>_xlfn.XLOOKUP(Orders[[#This Row],[Product ID]],products!$A$1:$A$49,products!$G$1:$G$49,,0)</f>
        <v>0.59699999999999998</v>
      </c>
      <c r="Q864" s="13">
        <f t="shared" si="66"/>
        <v>0.59699999999999998</v>
      </c>
      <c r="R864" t="str">
        <f t="shared" si="68"/>
        <v>Robusta</v>
      </c>
      <c r="S864" t="str">
        <f t="shared" si="69"/>
        <v>Medium</v>
      </c>
      <c r="T864" t="str">
        <f>_xlfn.XLOOKUP(Orders[[#This Row],[Customer ID]],customers!$A$1:$A$1001,customers!$I$1:$I$1001,,0)</f>
        <v>Yes</v>
      </c>
    </row>
    <row r="865" spans="1:20" x14ac:dyDescent="0.35">
      <c r="A865" s="2" t="s">
        <v>5368</v>
      </c>
      <c r="B865" s="3">
        <v>44712</v>
      </c>
      <c r="C865" s="2" t="s">
        <v>5369</v>
      </c>
      <c r="D865" t="s">
        <v>6162</v>
      </c>
      <c r="E865" t="str">
        <f t="shared" si="67"/>
        <v>Liberica-Medium-1</v>
      </c>
      <c r="F865" s="2">
        <v>2</v>
      </c>
      <c r="G865" s="2" t="str" cm="1">
        <f t="array" ref="G865">_xlfn.XLOOKUP(C865, customers!$A$1:A1864,customers!$B$1:B1864,,0)</f>
        <v>Meade Birkin</v>
      </c>
      <c r="H865" s="2" t="str" cm="1">
        <f t="array" ref="H865">IF(_xlfn.XLOOKUP(C865,customers!$A$1:A1864,customers!$C$1:C1864,,0) = 0,"", _xlfn.XLOOKUP(C865,customers!$A$1:A1864,customers!$C$1:C1864,,0))</f>
        <v>mbirkinnz@java.com</v>
      </c>
      <c r="I865" s="2" t="str">
        <f>_xlfn.XLOOKUP(C865,customers!$A$1:$A$1001,customers!$G$1:$G$1001,,0)</f>
        <v>United States</v>
      </c>
      <c r="J865" s="2" t="str">
        <f>_xlfn.XLOOKUP(Orders[[#This Row],[Customer ID]],customers!$A$1:$A$1001,customers!$F$1:$F$1001,,0)</f>
        <v>Miami</v>
      </c>
      <c r="K865" t="str">
        <f>INDEX(products!$A$1:$G$49,MATCH(orders!$D865,products!$A$1:$A$49,0),MATCH(orders!K$1,products!$A$1:$G$1,0))</f>
        <v>Lib</v>
      </c>
      <c r="L865" t="str">
        <f>INDEX(products!$A$1:$G$49,MATCH(orders!$D865,products!$A$1:$A$49,0),MATCH(orders!L$1,products!$A$1:$G$1,0))</f>
        <v>M</v>
      </c>
      <c r="M865" s="14">
        <f>INDEX(products!$A$1:$G$49,MATCH(orders!$D865,products!$A$1:$A$49,0),MATCH(orders!M$1,products!$A$1:$G$1,0))</f>
        <v>1</v>
      </c>
      <c r="N865" s="4">
        <f>INDEX(products!$A$1:$G$49,MATCH(orders!$D865,products!$A$1:$A$49,0),MATCH(orders!N$1,products!$A$1:$G$1,0))</f>
        <v>14.55</v>
      </c>
      <c r="O865" s="13">
        <f t="shared" si="65"/>
        <v>29.1</v>
      </c>
      <c r="P865" s="13">
        <f>_xlfn.XLOOKUP(Orders[[#This Row],[Product ID]],products!$A$1:$A$49,products!$G$1:$G$49,,0)</f>
        <v>1.8915000000000002</v>
      </c>
      <c r="Q865" s="13">
        <f t="shared" si="66"/>
        <v>3.7830000000000004</v>
      </c>
      <c r="R865" t="str">
        <f t="shared" si="68"/>
        <v>Liberica</v>
      </c>
      <c r="S865" t="str">
        <f t="shared" si="69"/>
        <v>Medium</v>
      </c>
      <c r="T865" t="str">
        <f>_xlfn.XLOOKUP(Orders[[#This Row],[Customer ID]],customers!$A$1:$A$1001,customers!$I$1:$I$1001,,0)</f>
        <v>Yes</v>
      </c>
    </row>
    <row r="866" spans="1:20" x14ac:dyDescent="0.35">
      <c r="A866" s="2" t="s">
        <v>5374</v>
      </c>
      <c r="B866" s="3">
        <v>43759</v>
      </c>
      <c r="C866" s="2" t="s">
        <v>5375</v>
      </c>
      <c r="D866" t="s">
        <v>6178</v>
      </c>
      <c r="E866" t="str">
        <f t="shared" si="67"/>
        <v>Robusta-Light-0.2</v>
      </c>
      <c r="F866" s="2">
        <v>6</v>
      </c>
      <c r="G866" s="2" t="str" cm="1">
        <f t="array" ref="G866">_xlfn.XLOOKUP(C866, customers!$A$1:A1865,customers!$B$1:B1865,,0)</f>
        <v>Ronda Pyson</v>
      </c>
      <c r="H866" s="2" t="str" cm="1">
        <f t="array" ref="H866">IF(_xlfn.XLOOKUP(C866,customers!$A$1:A1865,customers!$C$1:C1865,,0) = 0,"", _xlfn.XLOOKUP(C866,customers!$A$1:A1865,customers!$C$1:C1865,,0))</f>
        <v>rpysono0@constantcontact.com</v>
      </c>
      <c r="I866" s="2" t="str">
        <f>_xlfn.XLOOKUP(C866,customers!$A$1:$A$1001,customers!$G$1:$G$1001,,0)</f>
        <v>Ireland</v>
      </c>
      <c r="J866" s="2" t="str">
        <f>_xlfn.XLOOKUP(Orders[[#This Row],[Customer ID]],customers!$A$1:$A$1001,customers!$F$1:$F$1001,,0)</f>
        <v>Clones</v>
      </c>
      <c r="K866" t="str">
        <f>INDEX(products!$A$1:$G$49,MATCH(orders!$D866,products!$A$1:$A$49,0),MATCH(orders!K$1,products!$A$1:$G$1,0))</f>
        <v>Rob</v>
      </c>
      <c r="L866" t="str">
        <f>INDEX(products!$A$1:$G$49,MATCH(orders!$D866,products!$A$1:$A$49,0),MATCH(orders!L$1,products!$A$1:$G$1,0))</f>
        <v>L</v>
      </c>
      <c r="M866" s="14">
        <f>INDEX(products!$A$1:$G$49,MATCH(orders!$D866,products!$A$1:$A$49,0),MATCH(orders!M$1,products!$A$1:$G$1,0))</f>
        <v>0.2</v>
      </c>
      <c r="N866" s="4">
        <f>INDEX(products!$A$1:$G$49,MATCH(orders!$D866,products!$A$1:$A$49,0),MATCH(orders!N$1,products!$A$1:$G$1,0))</f>
        <v>3.5849999999999995</v>
      </c>
      <c r="O866" s="13">
        <f t="shared" si="65"/>
        <v>21.509999999999998</v>
      </c>
      <c r="P866" s="13">
        <f>_xlfn.XLOOKUP(Orders[[#This Row],[Product ID]],products!$A$1:$A$49,products!$G$1:$G$49,,0)</f>
        <v>0.21509999999999996</v>
      </c>
      <c r="Q866" s="13">
        <f t="shared" si="66"/>
        <v>1.2905999999999997</v>
      </c>
      <c r="R866" t="str">
        <f t="shared" si="68"/>
        <v>Robusta</v>
      </c>
      <c r="S866" t="str">
        <f t="shared" si="69"/>
        <v>Light</v>
      </c>
      <c r="T866" t="str">
        <f>_xlfn.XLOOKUP(Orders[[#This Row],[Customer ID]],customers!$A$1:$A$1001,customers!$I$1:$I$1001,,0)</f>
        <v>No</v>
      </c>
    </row>
    <row r="867" spans="1:20" x14ac:dyDescent="0.35">
      <c r="A867" s="2" t="s">
        <v>5380</v>
      </c>
      <c r="B867" s="3">
        <v>44675</v>
      </c>
      <c r="C867" s="2" t="s">
        <v>5428</v>
      </c>
      <c r="D867" t="s">
        <v>6157</v>
      </c>
      <c r="E867" t="str">
        <f t="shared" si="67"/>
        <v>Arabica-Medium-0.5</v>
      </c>
      <c r="F867" s="2">
        <v>1</v>
      </c>
      <c r="G867" s="2" t="str" cm="1">
        <f t="array" ref="G867">_xlfn.XLOOKUP(C867, customers!$A$1:A1866,customers!$B$1:B1866,,0)</f>
        <v>Modesty MacConnechie</v>
      </c>
      <c r="H867" s="2" t="str" cm="1">
        <f t="array" ref="H867">IF(_xlfn.XLOOKUP(C867,customers!$A$1:A1866,customers!$C$1:C1866,,0) = 0,"", _xlfn.XLOOKUP(C867,customers!$A$1:A1866,customers!$C$1:C1866,,0))</f>
        <v>mmacconnechieo9@reuters.com</v>
      </c>
      <c r="I867" s="2" t="str">
        <f>_xlfn.XLOOKUP(C867,customers!$A$1:$A$1001,customers!$G$1:$G$1001,,0)</f>
        <v>United States</v>
      </c>
      <c r="J867" s="2" t="str">
        <f>_xlfn.XLOOKUP(Orders[[#This Row],[Customer ID]],customers!$A$1:$A$1001,customers!$F$1:$F$1001,,0)</f>
        <v>Charleston</v>
      </c>
      <c r="K867" t="str">
        <f>INDEX(products!$A$1:$G$49,MATCH(orders!$D867,products!$A$1:$A$49,0),MATCH(orders!K$1,products!$A$1:$G$1,0))</f>
        <v>Ara</v>
      </c>
      <c r="L867" t="str">
        <f>INDEX(products!$A$1:$G$49,MATCH(orders!$D867,products!$A$1:$A$49,0),MATCH(orders!L$1,products!$A$1:$G$1,0))</f>
        <v>M</v>
      </c>
      <c r="M867" s="14">
        <f>INDEX(products!$A$1:$G$49,MATCH(orders!$D867,products!$A$1:$A$49,0),MATCH(orders!M$1,products!$A$1:$G$1,0))</f>
        <v>0.5</v>
      </c>
      <c r="N867" s="4">
        <f>INDEX(products!$A$1:$G$49,MATCH(orders!$D867,products!$A$1:$A$49,0),MATCH(orders!N$1,products!$A$1:$G$1,0))</f>
        <v>6.75</v>
      </c>
      <c r="O867" s="13">
        <f t="shared" si="65"/>
        <v>6.75</v>
      </c>
      <c r="P867" s="13">
        <f>_xlfn.XLOOKUP(Orders[[#This Row],[Product ID]],products!$A$1:$A$49,products!$G$1:$G$49,,0)</f>
        <v>0.60749999999999993</v>
      </c>
      <c r="Q867" s="13">
        <f t="shared" si="66"/>
        <v>0.60749999999999993</v>
      </c>
      <c r="R867" t="str">
        <f t="shared" si="68"/>
        <v>Arabica</v>
      </c>
      <c r="S867" t="str">
        <f t="shared" si="69"/>
        <v>Medium</v>
      </c>
      <c r="T867" t="str">
        <f>_xlfn.XLOOKUP(Orders[[#This Row],[Customer ID]],customers!$A$1:$A$1001,customers!$I$1:$I$1001,,0)</f>
        <v>Yes</v>
      </c>
    </row>
    <row r="868" spans="1:20" x14ac:dyDescent="0.35">
      <c r="A868" s="2" t="s">
        <v>5385</v>
      </c>
      <c r="B868" s="3">
        <v>44209</v>
      </c>
      <c r="C868" s="2" t="s">
        <v>5386</v>
      </c>
      <c r="D868" t="s">
        <v>6158</v>
      </c>
      <c r="E868" t="str">
        <f t="shared" si="67"/>
        <v>Arabica-Dark-0.5</v>
      </c>
      <c r="F868" s="2">
        <v>3</v>
      </c>
      <c r="G868" s="2" t="str" cm="1">
        <f t="array" ref="G868">_xlfn.XLOOKUP(C868, customers!$A$1:A1867,customers!$B$1:B1867,,0)</f>
        <v>Rafaela Treacher</v>
      </c>
      <c r="H868" s="2" t="str" cm="1">
        <f t="array" ref="H868">IF(_xlfn.XLOOKUP(C868,customers!$A$1:A1867,customers!$C$1:C1867,,0) = 0,"", _xlfn.XLOOKUP(C868,customers!$A$1:A1867,customers!$C$1:C1867,,0))</f>
        <v>rtreachero2@usa.gov</v>
      </c>
      <c r="I868" s="2" t="str">
        <f>_xlfn.XLOOKUP(C868,customers!$A$1:$A$1001,customers!$G$1:$G$1001,,0)</f>
        <v>Ireland</v>
      </c>
      <c r="J868" s="2" t="str">
        <f>_xlfn.XLOOKUP(Orders[[#This Row],[Customer ID]],customers!$A$1:$A$1001,customers!$F$1:$F$1001,,0)</f>
        <v>Greystones</v>
      </c>
      <c r="K868" t="str">
        <f>INDEX(products!$A$1:$G$49,MATCH(orders!$D868,products!$A$1:$A$49,0),MATCH(orders!K$1,products!$A$1:$G$1,0))</f>
        <v>Ara</v>
      </c>
      <c r="L868" t="str">
        <f>INDEX(products!$A$1:$G$49,MATCH(orders!$D868,products!$A$1:$A$49,0),MATCH(orders!L$1,products!$A$1:$G$1,0))</f>
        <v>D</v>
      </c>
      <c r="M868" s="14">
        <f>INDEX(products!$A$1:$G$49,MATCH(orders!$D868,products!$A$1:$A$49,0),MATCH(orders!M$1,products!$A$1:$G$1,0))</f>
        <v>0.5</v>
      </c>
      <c r="N868" s="4">
        <f>INDEX(products!$A$1:$G$49,MATCH(orders!$D868,products!$A$1:$A$49,0),MATCH(orders!N$1,products!$A$1:$G$1,0))</f>
        <v>5.97</v>
      </c>
      <c r="O868" s="13">
        <f t="shared" si="65"/>
        <v>17.91</v>
      </c>
      <c r="P868" s="13">
        <f>_xlfn.XLOOKUP(Orders[[#This Row],[Product ID]],products!$A$1:$A$49,products!$G$1:$G$49,,0)</f>
        <v>0.5373</v>
      </c>
      <c r="Q868" s="13">
        <f t="shared" si="66"/>
        <v>1.6118999999999999</v>
      </c>
      <c r="R868" t="str">
        <f t="shared" si="68"/>
        <v>Arabica</v>
      </c>
      <c r="S868" t="str">
        <f t="shared" si="69"/>
        <v>Dark</v>
      </c>
      <c r="T868" t="str">
        <f>_xlfn.XLOOKUP(Orders[[#This Row],[Customer ID]],customers!$A$1:$A$1001,customers!$I$1:$I$1001,,0)</f>
        <v>No</v>
      </c>
    </row>
    <row r="869" spans="1:20" x14ac:dyDescent="0.35">
      <c r="A869" s="2" t="s">
        <v>5391</v>
      </c>
      <c r="B869" s="3">
        <v>44792</v>
      </c>
      <c r="C869" s="2" t="s">
        <v>5392</v>
      </c>
      <c r="D869" t="s">
        <v>6182</v>
      </c>
      <c r="E869" t="str">
        <f t="shared" si="67"/>
        <v>Arabica-Light-2.5</v>
      </c>
      <c r="F869" s="2">
        <v>1</v>
      </c>
      <c r="G869" s="2" t="str" cm="1">
        <f t="array" ref="G869">_xlfn.XLOOKUP(C869, customers!$A$1:A1868,customers!$B$1:B1868,,0)</f>
        <v>Bee Fattorini</v>
      </c>
      <c r="H869" s="2" t="str" cm="1">
        <f t="array" ref="H869">IF(_xlfn.XLOOKUP(C869,customers!$A$1:A1868,customers!$C$1:C1868,,0) = 0,"", _xlfn.XLOOKUP(C869,customers!$A$1:A1868,customers!$C$1:C1868,,0))</f>
        <v>bfattorinio3@quantcast.com</v>
      </c>
      <c r="I869" s="2" t="str">
        <f>_xlfn.XLOOKUP(C869,customers!$A$1:$A$1001,customers!$G$1:$G$1001,,0)</f>
        <v>Ireland</v>
      </c>
      <c r="J869" s="2" t="str">
        <f>_xlfn.XLOOKUP(Orders[[#This Row],[Customer ID]],customers!$A$1:$A$1001,customers!$F$1:$F$1001,,0)</f>
        <v>Monaghan</v>
      </c>
      <c r="K869" t="str">
        <f>INDEX(products!$A$1:$G$49,MATCH(orders!$D869,products!$A$1:$A$49,0),MATCH(orders!K$1,products!$A$1:$G$1,0))</f>
        <v>Ara</v>
      </c>
      <c r="L869" t="str">
        <f>INDEX(products!$A$1:$G$49,MATCH(orders!$D869,products!$A$1:$A$49,0),MATCH(orders!L$1,products!$A$1:$G$1,0))</f>
        <v>L</v>
      </c>
      <c r="M869" s="14">
        <f>INDEX(products!$A$1:$G$49,MATCH(orders!$D869,products!$A$1:$A$49,0),MATCH(orders!M$1,products!$A$1:$G$1,0))</f>
        <v>2.5</v>
      </c>
      <c r="N869" s="4">
        <f>INDEX(products!$A$1:$G$49,MATCH(orders!$D869,products!$A$1:$A$49,0),MATCH(orders!N$1,products!$A$1:$G$1,0))</f>
        <v>29.784999999999997</v>
      </c>
      <c r="O869" s="13">
        <f t="shared" si="65"/>
        <v>29.784999999999997</v>
      </c>
      <c r="P869" s="13">
        <f>_xlfn.XLOOKUP(Orders[[#This Row],[Product ID]],products!$A$1:$A$49,products!$G$1:$G$49,,0)</f>
        <v>2.6806499999999995</v>
      </c>
      <c r="Q869" s="13">
        <f t="shared" si="66"/>
        <v>2.6806499999999995</v>
      </c>
      <c r="R869" t="str">
        <f t="shared" si="68"/>
        <v>Arabica</v>
      </c>
      <c r="S869" t="str">
        <f t="shared" si="69"/>
        <v>Light</v>
      </c>
      <c r="T869" t="str">
        <f>_xlfn.XLOOKUP(Orders[[#This Row],[Customer ID]],customers!$A$1:$A$1001,customers!$I$1:$I$1001,,0)</f>
        <v>Yes</v>
      </c>
    </row>
    <row r="870" spans="1:20" x14ac:dyDescent="0.35">
      <c r="A870" s="2" t="s">
        <v>5396</v>
      </c>
      <c r="B870" s="3">
        <v>43526</v>
      </c>
      <c r="C870" s="2" t="s">
        <v>5397</v>
      </c>
      <c r="D870" t="s">
        <v>6139</v>
      </c>
      <c r="E870" t="str">
        <f t="shared" si="67"/>
        <v>Excelsa-Medium-0.5</v>
      </c>
      <c r="F870" s="2">
        <v>5</v>
      </c>
      <c r="G870" s="2" t="str" cm="1">
        <f t="array" ref="G870">_xlfn.XLOOKUP(C870, customers!$A$1:A1869,customers!$B$1:B1869,,0)</f>
        <v>Margie Palleske</v>
      </c>
      <c r="H870" s="2" t="str" cm="1">
        <f t="array" ref="H870">IF(_xlfn.XLOOKUP(C870,customers!$A$1:A1869,customers!$C$1:C1869,,0) = 0,"", _xlfn.XLOOKUP(C870,customers!$A$1:A1869,customers!$C$1:C1869,,0))</f>
        <v>mpalleskeo4@nyu.edu</v>
      </c>
      <c r="I870" s="2" t="str">
        <f>_xlfn.XLOOKUP(C870,customers!$A$1:$A$1001,customers!$G$1:$G$1001,,0)</f>
        <v>United States</v>
      </c>
      <c r="J870" s="2" t="str">
        <f>_xlfn.XLOOKUP(Orders[[#This Row],[Customer ID]],customers!$A$1:$A$1001,customers!$F$1:$F$1001,,0)</f>
        <v>Pompano Beach</v>
      </c>
      <c r="K870" t="str">
        <f>INDEX(products!$A$1:$G$49,MATCH(orders!$D870,products!$A$1:$A$49,0),MATCH(orders!K$1,products!$A$1:$G$1,0))</f>
        <v>Exc</v>
      </c>
      <c r="L870" t="str">
        <f>INDEX(products!$A$1:$G$49,MATCH(orders!$D870,products!$A$1:$A$49,0),MATCH(orders!L$1,products!$A$1:$G$1,0))</f>
        <v>M</v>
      </c>
      <c r="M870" s="14">
        <f>INDEX(products!$A$1:$G$49,MATCH(orders!$D870,products!$A$1:$A$49,0),MATCH(orders!M$1,products!$A$1:$G$1,0))</f>
        <v>0.5</v>
      </c>
      <c r="N870" s="4">
        <f>INDEX(products!$A$1:$G$49,MATCH(orders!$D870,products!$A$1:$A$49,0),MATCH(orders!N$1,products!$A$1:$G$1,0))</f>
        <v>8.25</v>
      </c>
      <c r="O870" s="13">
        <f t="shared" si="65"/>
        <v>41.25</v>
      </c>
      <c r="P870" s="13">
        <f>_xlfn.XLOOKUP(Orders[[#This Row],[Product ID]],products!$A$1:$A$49,products!$G$1:$G$49,,0)</f>
        <v>0.90749999999999997</v>
      </c>
      <c r="Q870" s="13">
        <f t="shared" si="66"/>
        <v>4.5374999999999996</v>
      </c>
      <c r="R870" t="str">
        <f t="shared" si="68"/>
        <v>Execelsa</v>
      </c>
      <c r="S870" t="str">
        <f t="shared" si="69"/>
        <v>Medium</v>
      </c>
      <c r="T870" t="str">
        <f>_xlfn.XLOOKUP(Orders[[#This Row],[Customer ID]],customers!$A$1:$A$1001,customers!$I$1:$I$1001,,0)</f>
        <v>Yes</v>
      </c>
    </row>
    <row r="871" spans="1:20" x14ac:dyDescent="0.35">
      <c r="A871" s="2" t="s">
        <v>5402</v>
      </c>
      <c r="B871" s="3">
        <v>43851</v>
      </c>
      <c r="C871" s="2" t="s">
        <v>5403</v>
      </c>
      <c r="D871" t="s">
        <v>6146</v>
      </c>
      <c r="E871" t="str">
        <f t="shared" si="67"/>
        <v>Robusta-Medium-0.5</v>
      </c>
      <c r="F871" s="2">
        <v>3</v>
      </c>
      <c r="G871" s="2" t="str" cm="1">
        <f t="array" ref="G871">_xlfn.XLOOKUP(C871, customers!$A$1:A1870,customers!$B$1:B1870,,0)</f>
        <v>Alexina Randals</v>
      </c>
      <c r="H871" s="2" t="str" cm="1">
        <f t="array" ref="H871">IF(_xlfn.XLOOKUP(C871,customers!$A$1:A1870,customers!$C$1:C1870,,0) = 0,"", _xlfn.XLOOKUP(C871,customers!$A$1:A1870,customers!$C$1:C1870,,0))</f>
        <v/>
      </c>
      <c r="I871" s="2" t="str">
        <f>_xlfn.XLOOKUP(C871,customers!$A$1:$A$1001,customers!$G$1:$G$1001,,0)</f>
        <v>United States</v>
      </c>
      <c r="J871" s="2" t="str">
        <f>_xlfn.XLOOKUP(Orders[[#This Row],[Customer ID]],customers!$A$1:$A$1001,customers!$F$1:$F$1001,,0)</f>
        <v>Sacramento</v>
      </c>
      <c r="K871" t="str">
        <f>INDEX(products!$A$1:$G$49,MATCH(orders!$D871,products!$A$1:$A$49,0),MATCH(orders!K$1,products!$A$1:$G$1,0))</f>
        <v>Rob</v>
      </c>
      <c r="L871" t="str">
        <f>INDEX(products!$A$1:$G$49,MATCH(orders!$D871,products!$A$1:$A$49,0),MATCH(orders!L$1,products!$A$1:$G$1,0))</f>
        <v>M</v>
      </c>
      <c r="M871" s="14">
        <f>INDEX(products!$A$1:$G$49,MATCH(orders!$D871,products!$A$1:$A$49,0),MATCH(orders!M$1,products!$A$1:$G$1,0))</f>
        <v>0.5</v>
      </c>
      <c r="N871" s="4">
        <f>INDEX(products!$A$1:$G$49,MATCH(orders!$D871,products!$A$1:$A$49,0),MATCH(orders!N$1,products!$A$1:$G$1,0))</f>
        <v>5.97</v>
      </c>
      <c r="O871" s="13">
        <f t="shared" si="65"/>
        <v>17.91</v>
      </c>
      <c r="P871" s="13">
        <f>_xlfn.XLOOKUP(Orders[[#This Row],[Product ID]],products!$A$1:$A$49,products!$G$1:$G$49,,0)</f>
        <v>0.35819999999999996</v>
      </c>
      <c r="Q871" s="13">
        <f t="shared" si="66"/>
        <v>1.0745999999999998</v>
      </c>
      <c r="R871" t="str">
        <f t="shared" si="68"/>
        <v>Robusta</v>
      </c>
      <c r="S871" t="str">
        <f t="shared" si="69"/>
        <v>Medium</v>
      </c>
      <c r="T871" t="str">
        <f>_xlfn.XLOOKUP(Orders[[#This Row],[Customer ID]],customers!$A$1:$A$1001,customers!$I$1:$I$1001,,0)</f>
        <v>Yes</v>
      </c>
    </row>
    <row r="872" spans="1:20" x14ac:dyDescent="0.35">
      <c r="A872" s="2" t="s">
        <v>5407</v>
      </c>
      <c r="B872" s="3">
        <v>44460</v>
      </c>
      <c r="C872" s="2" t="s">
        <v>5408</v>
      </c>
      <c r="D872" t="s">
        <v>6144</v>
      </c>
      <c r="E872" t="str">
        <f t="shared" si="67"/>
        <v>Excelsa-Dark-0.5</v>
      </c>
      <c r="F872" s="2">
        <v>1</v>
      </c>
      <c r="G872" s="2" t="str" cm="1">
        <f t="array" ref="G872">_xlfn.XLOOKUP(C872, customers!$A$1:A1871,customers!$B$1:B1871,,0)</f>
        <v>Filip Antcliffe</v>
      </c>
      <c r="H872" s="2" t="str" cm="1">
        <f t="array" ref="H872">IF(_xlfn.XLOOKUP(C872,customers!$A$1:A1871,customers!$C$1:C1871,,0) = 0,"", _xlfn.XLOOKUP(C872,customers!$A$1:A1871,customers!$C$1:C1871,,0))</f>
        <v>fantcliffeo6@amazon.co.jp</v>
      </c>
      <c r="I872" s="2" t="str">
        <f>_xlfn.XLOOKUP(C872,customers!$A$1:$A$1001,customers!$G$1:$G$1001,,0)</f>
        <v>Ireland</v>
      </c>
      <c r="J872" s="2" t="str">
        <f>_xlfn.XLOOKUP(Orders[[#This Row],[Customer ID]],customers!$A$1:$A$1001,customers!$F$1:$F$1001,,0)</f>
        <v>Clonskeagh</v>
      </c>
      <c r="K872" t="str">
        <f>INDEX(products!$A$1:$G$49,MATCH(orders!$D872,products!$A$1:$A$49,0),MATCH(orders!K$1,products!$A$1:$G$1,0))</f>
        <v>Exc</v>
      </c>
      <c r="L872" t="str">
        <f>INDEX(products!$A$1:$G$49,MATCH(orders!$D872,products!$A$1:$A$49,0),MATCH(orders!L$1,products!$A$1:$G$1,0))</f>
        <v>D</v>
      </c>
      <c r="M872" s="14">
        <f>INDEX(products!$A$1:$G$49,MATCH(orders!$D872,products!$A$1:$A$49,0),MATCH(orders!M$1,products!$A$1:$G$1,0))</f>
        <v>0.5</v>
      </c>
      <c r="N872" s="4">
        <f>INDEX(products!$A$1:$G$49,MATCH(orders!$D872,products!$A$1:$A$49,0),MATCH(orders!N$1,products!$A$1:$G$1,0))</f>
        <v>7.29</v>
      </c>
      <c r="O872" s="13">
        <f t="shared" si="65"/>
        <v>7.29</v>
      </c>
      <c r="P872" s="13">
        <f>_xlfn.XLOOKUP(Orders[[#This Row],[Product ID]],products!$A$1:$A$49,products!$G$1:$G$49,,0)</f>
        <v>0.80190000000000006</v>
      </c>
      <c r="Q872" s="13">
        <f t="shared" si="66"/>
        <v>0.80190000000000006</v>
      </c>
      <c r="R872" t="str">
        <f t="shared" si="68"/>
        <v>Execelsa</v>
      </c>
      <c r="S872" t="str">
        <f t="shared" si="69"/>
        <v>Dark</v>
      </c>
      <c r="T872" t="str">
        <f>_xlfn.XLOOKUP(Orders[[#This Row],[Customer ID]],customers!$A$1:$A$1001,customers!$I$1:$I$1001,,0)</f>
        <v>Yes</v>
      </c>
    </row>
    <row r="873" spans="1:20" x14ac:dyDescent="0.35">
      <c r="A873" s="2" t="s">
        <v>5413</v>
      </c>
      <c r="B873" s="3">
        <v>43707</v>
      </c>
      <c r="C873" s="2" t="s">
        <v>5414</v>
      </c>
      <c r="D873" t="s">
        <v>6171</v>
      </c>
      <c r="E873" t="str">
        <f t="shared" si="67"/>
        <v>Excelsa-Light-1</v>
      </c>
      <c r="F873" s="2">
        <v>2</v>
      </c>
      <c r="G873" s="2" t="str" cm="1">
        <f t="array" ref="G873">_xlfn.XLOOKUP(C873, customers!$A$1:A1872,customers!$B$1:B1872,,0)</f>
        <v>Peyter Matignon</v>
      </c>
      <c r="H873" s="2" t="str" cm="1">
        <f t="array" ref="H873">IF(_xlfn.XLOOKUP(C873,customers!$A$1:A1872,customers!$C$1:C1872,,0) = 0,"", _xlfn.XLOOKUP(C873,customers!$A$1:A1872,customers!$C$1:C1872,,0))</f>
        <v>pmatignono7@harvard.edu</v>
      </c>
      <c r="I873" s="2" t="str">
        <f>_xlfn.XLOOKUP(C873,customers!$A$1:$A$1001,customers!$G$1:$G$1001,,0)</f>
        <v>United Kingdom</v>
      </c>
      <c r="J873" s="2" t="str">
        <f>_xlfn.XLOOKUP(Orders[[#This Row],[Customer ID]],customers!$A$1:$A$1001,customers!$F$1:$F$1001,,0)</f>
        <v>Kirkton</v>
      </c>
      <c r="K873" t="str">
        <f>INDEX(products!$A$1:$G$49,MATCH(orders!$D873,products!$A$1:$A$49,0),MATCH(orders!K$1,products!$A$1:$G$1,0))</f>
        <v>Exc</v>
      </c>
      <c r="L873" t="str">
        <f>INDEX(products!$A$1:$G$49,MATCH(orders!$D873,products!$A$1:$A$49,0),MATCH(orders!L$1,products!$A$1:$G$1,0))</f>
        <v>L</v>
      </c>
      <c r="M873" s="14">
        <f>INDEX(products!$A$1:$G$49,MATCH(orders!$D873,products!$A$1:$A$49,0),MATCH(orders!M$1,products!$A$1:$G$1,0))</f>
        <v>1</v>
      </c>
      <c r="N873" s="4">
        <f>INDEX(products!$A$1:$G$49,MATCH(orders!$D873,products!$A$1:$A$49,0),MATCH(orders!N$1,products!$A$1:$G$1,0))</f>
        <v>14.85</v>
      </c>
      <c r="O873" s="13">
        <f t="shared" si="65"/>
        <v>29.7</v>
      </c>
      <c r="P873" s="13">
        <f>_xlfn.XLOOKUP(Orders[[#This Row],[Product ID]],products!$A$1:$A$49,products!$G$1:$G$49,,0)</f>
        <v>1.6335</v>
      </c>
      <c r="Q873" s="13">
        <f t="shared" si="66"/>
        <v>3.2669999999999999</v>
      </c>
      <c r="R873" t="str">
        <f t="shared" si="68"/>
        <v>Execelsa</v>
      </c>
      <c r="S873" t="str">
        <f t="shared" si="69"/>
        <v>Light</v>
      </c>
      <c r="T873" t="str">
        <f>_xlfn.XLOOKUP(Orders[[#This Row],[Customer ID]],customers!$A$1:$A$1001,customers!$I$1:$I$1001,,0)</f>
        <v>Yes</v>
      </c>
    </row>
    <row r="874" spans="1:20" x14ac:dyDescent="0.35">
      <c r="A874" s="2" t="s">
        <v>5421</v>
      </c>
      <c r="B874" s="3">
        <v>43521</v>
      </c>
      <c r="C874" s="2" t="s">
        <v>5422</v>
      </c>
      <c r="D874" t="s">
        <v>6155</v>
      </c>
      <c r="E874" t="str">
        <f t="shared" si="67"/>
        <v>Arabica-Medium-1</v>
      </c>
      <c r="F874" s="2">
        <v>2</v>
      </c>
      <c r="G874" s="2" t="str" cm="1">
        <f t="array" ref="G874">_xlfn.XLOOKUP(C874, customers!$A$1:A1873,customers!$B$1:B1873,,0)</f>
        <v>Claudie Weond</v>
      </c>
      <c r="H874" s="2" t="str" cm="1">
        <f t="array" ref="H874">IF(_xlfn.XLOOKUP(C874,customers!$A$1:A1873,customers!$C$1:C1873,,0) = 0,"", _xlfn.XLOOKUP(C874,customers!$A$1:A1873,customers!$C$1:C1873,,0))</f>
        <v>cweondo8@theglobeandmail.com</v>
      </c>
      <c r="I874" s="2" t="str">
        <f>_xlfn.XLOOKUP(C874,customers!$A$1:$A$1001,customers!$G$1:$G$1001,,0)</f>
        <v>United States</v>
      </c>
      <c r="J874" s="2" t="str">
        <f>_xlfn.XLOOKUP(Orders[[#This Row],[Customer ID]],customers!$A$1:$A$1001,customers!$F$1:$F$1001,,0)</f>
        <v>Asheville</v>
      </c>
      <c r="K874" t="str">
        <f>INDEX(products!$A$1:$G$49,MATCH(orders!$D874,products!$A$1:$A$49,0),MATCH(orders!K$1,products!$A$1:$G$1,0))</f>
        <v>Ara</v>
      </c>
      <c r="L874" t="str">
        <f>INDEX(products!$A$1:$G$49,MATCH(orders!$D874,products!$A$1:$A$49,0),MATCH(orders!L$1,products!$A$1:$G$1,0))</f>
        <v>M</v>
      </c>
      <c r="M874" s="14">
        <f>INDEX(products!$A$1:$G$49,MATCH(orders!$D874,products!$A$1:$A$49,0),MATCH(orders!M$1,products!$A$1:$G$1,0))</f>
        <v>1</v>
      </c>
      <c r="N874" s="4">
        <f>INDEX(products!$A$1:$G$49,MATCH(orders!$D874,products!$A$1:$A$49,0),MATCH(orders!N$1,products!$A$1:$G$1,0))</f>
        <v>11.25</v>
      </c>
      <c r="O874" s="13">
        <f t="shared" si="65"/>
        <v>22.5</v>
      </c>
      <c r="P874" s="13">
        <f>_xlfn.XLOOKUP(Orders[[#This Row],[Product ID]],products!$A$1:$A$49,products!$G$1:$G$49,,0)</f>
        <v>1.0125</v>
      </c>
      <c r="Q874" s="13">
        <f t="shared" si="66"/>
        <v>2.0249999999999999</v>
      </c>
      <c r="R874" t="str">
        <f t="shared" si="68"/>
        <v>Arabica</v>
      </c>
      <c r="S874" t="str">
        <f t="shared" si="69"/>
        <v>Medium</v>
      </c>
      <c r="T874" t="str">
        <f>_xlfn.XLOOKUP(Orders[[#This Row],[Customer ID]],customers!$A$1:$A$1001,customers!$I$1:$I$1001,,0)</f>
        <v>No</v>
      </c>
    </row>
    <row r="875" spans="1:20" x14ac:dyDescent="0.35">
      <c r="A875" s="2" t="s">
        <v>5427</v>
      </c>
      <c r="B875" s="3">
        <v>43725</v>
      </c>
      <c r="C875" s="2" t="s">
        <v>5428</v>
      </c>
      <c r="D875" t="s">
        <v>6174</v>
      </c>
      <c r="E875" t="str">
        <f t="shared" si="67"/>
        <v>Robusta-Medium-0.2</v>
      </c>
      <c r="F875" s="2">
        <v>4</v>
      </c>
      <c r="G875" s="2" t="str" cm="1">
        <f t="array" ref="G875">_xlfn.XLOOKUP(C875, customers!$A$1:A1874,customers!$B$1:B1874,,0)</f>
        <v>Modesty MacConnechie</v>
      </c>
      <c r="H875" s="2" t="str" cm="1">
        <f t="array" ref="H875">IF(_xlfn.XLOOKUP(C875,customers!$A$1:A1874,customers!$C$1:C1874,,0) = 0,"", _xlfn.XLOOKUP(C875,customers!$A$1:A1874,customers!$C$1:C1874,,0))</f>
        <v>mmacconnechieo9@reuters.com</v>
      </c>
      <c r="I875" s="2" t="str">
        <f>_xlfn.XLOOKUP(C875,customers!$A$1:$A$1001,customers!$G$1:$G$1001,,0)</f>
        <v>United States</v>
      </c>
      <c r="J875" s="2" t="str">
        <f>_xlfn.XLOOKUP(Orders[[#This Row],[Customer ID]],customers!$A$1:$A$1001,customers!$F$1:$F$1001,,0)</f>
        <v>Charleston</v>
      </c>
      <c r="K875" t="str">
        <f>INDEX(products!$A$1:$G$49,MATCH(orders!$D875,products!$A$1:$A$49,0),MATCH(orders!K$1,products!$A$1:$G$1,0))</f>
        <v>Rob</v>
      </c>
      <c r="L875" t="str">
        <f>INDEX(products!$A$1:$G$49,MATCH(orders!$D875,products!$A$1:$A$49,0),MATCH(orders!L$1,products!$A$1:$G$1,0))</f>
        <v>M</v>
      </c>
      <c r="M875" s="14">
        <f>INDEX(products!$A$1:$G$49,MATCH(orders!$D875,products!$A$1:$A$49,0),MATCH(orders!M$1,products!$A$1:$G$1,0))</f>
        <v>0.2</v>
      </c>
      <c r="N875" s="4">
        <f>INDEX(products!$A$1:$G$49,MATCH(orders!$D875,products!$A$1:$A$49,0),MATCH(orders!N$1,products!$A$1:$G$1,0))</f>
        <v>2.9849999999999999</v>
      </c>
      <c r="O875" s="13">
        <f t="shared" si="65"/>
        <v>11.94</v>
      </c>
      <c r="P875" s="13">
        <f>_xlfn.XLOOKUP(Orders[[#This Row],[Product ID]],products!$A$1:$A$49,products!$G$1:$G$49,,0)</f>
        <v>0.17909999999999998</v>
      </c>
      <c r="Q875" s="13">
        <f t="shared" si="66"/>
        <v>0.71639999999999993</v>
      </c>
      <c r="R875" t="str">
        <f t="shared" si="68"/>
        <v>Robusta</v>
      </c>
      <c r="S875" t="str">
        <f t="shared" si="69"/>
        <v>Medium</v>
      </c>
      <c r="T875" t="str">
        <f>_xlfn.XLOOKUP(Orders[[#This Row],[Customer ID]],customers!$A$1:$A$1001,customers!$I$1:$I$1001,,0)</f>
        <v>Yes</v>
      </c>
    </row>
    <row r="876" spans="1:20" x14ac:dyDescent="0.35">
      <c r="A876" s="2" t="s">
        <v>5433</v>
      </c>
      <c r="B876" s="3">
        <v>43680</v>
      </c>
      <c r="C876" s="2" t="s">
        <v>5434</v>
      </c>
      <c r="D876" t="s">
        <v>6140</v>
      </c>
      <c r="E876" t="str">
        <f t="shared" si="67"/>
        <v>Arabica-Light-1</v>
      </c>
      <c r="F876" s="2">
        <v>2</v>
      </c>
      <c r="G876" s="2" t="str" cm="1">
        <f t="array" ref="G876">_xlfn.XLOOKUP(C876, customers!$A$1:A1875,customers!$B$1:B1875,,0)</f>
        <v>Jaquenette Skentelbery</v>
      </c>
      <c r="H876" s="2" t="str" cm="1">
        <f t="array" ref="H876">IF(_xlfn.XLOOKUP(C876,customers!$A$1:A1875,customers!$C$1:C1875,,0) = 0,"", _xlfn.XLOOKUP(C876,customers!$A$1:A1875,customers!$C$1:C1875,,0))</f>
        <v>jskentelberyoa@paypal.com</v>
      </c>
      <c r="I876" s="2" t="str">
        <f>_xlfn.XLOOKUP(C876,customers!$A$1:$A$1001,customers!$G$1:$G$1001,,0)</f>
        <v>United States</v>
      </c>
      <c r="J876" s="2" t="str">
        <f>_xlfn.XLOOKUP(Orders[[#This Row],[Customer ID]],customers!$A$1:$A$1001,customers!$F$1:$F$1001,,0)</f>
        <v>Houston</v>
      </c>
      <c r="K876" t="str">
        <f>INDEX(products!$A$1:$G$49,MATCH(orders!$D876,products!$A$1:$A$49,0),MATCH(orders!K$1,products!$A$1:$G$1,0))</f>
        <v>Ara</v>
      </c>
      <c r="L876" t="str">
        <f>INDEX(products!$A$1:$G$49,MATCH(orders!$D876,products!$A$1:$A$49,0),MATCH(orders!L$1,products!$A$1:$G$1,0))</f>
        <v>L</v>
      </c>
      <c r="M876" s="14">
        <f>INDEX(products!$A$1:$G$49,MATCH(orders!$D876,products!$A$1:$A$49,0),MATCH(orders!M$1,products!$A$1:$G$1,0))</f>
        <v>1</v>
      </c>
      <c r="N876" s="4">
        <f>INDEX(products!$A$1:$G$49,MATCH(orders!$D876,products!$A$1:$A$49,0),MATCH(orders!N$1,products!$A$1:$G$1,0))</f>
        <v>12.95</v>
      </c>
      <c r="O876" s="13">
        <f t="shared" si="65"/>
        <v>25.9</v>
      </c>
      <c r="P876" s="13">
        <f>_xlfn.XLOOKUP(Orders[[#This Row],[Product ID]],products!$A$1:$A$49,products!$G$1:$G$49,,0)</f>
        <v>1.1655</v>
      </c>
      <c r="Q876" s="13">
        <f t="shared" si="66"/>
        <v>2.331</v>
      </c>
      <c r="R876" t="str">
        <f t="shared" si="68"/>
        <v>Arabica</v>
      </c>
      <c r="S876" t="str">
        <f t="shared" si="69"/>
        <v>Light</v>
      </c>
      <c r="T876" t="str">
        <f>_xlfn.XLOOKUP(Orders[[#This Row],[Customer ID]],customers!$A$1:$A$1001,customers!$I$1:$I$1001,,0)</f>
        <v>No</v>
      </c>
    </row>
    <row r="877" spans="1:20" x14ac:dyDescent="0.35">
      <c r="A877" s="2" t="s">
        <v>5439</v>
      </c>
      <c r="B877" s="3">
        <v>44253</v>
      </c>
      <c r="C877" s="2" t="s">
        <v>5440</v>
      </c>
      <c r="D877" t="s">
        <v>6160</v>
      </c>
      <c r="E877" t="str">
        <f t="shared" si="67"/>
        <v>Liberica-Medium-0.5</v>
      </c>
      <c r="F877" s="2">
        <v>5</v>
      </c>
      <c r="G877" s="2" t="str" cm="1">
        <f t="array" ref="G877">_xlfn.XLOOKUP(C877, customers!$A$1:A1876,customers!$B$1:B1876,,0)</f>
        <v>Orazio Comber</v>
      </c>
      <c r="H877" s="2" t="str" cm="1">
        <f t="array" ref="H877">IF(_xlfn.XLOOKUP(C877,customers!$A$1:A1876,customers!$C$1:C1876,,0) = 0,"", _xlfn.XLOOKUP(C877,customers!$A$1:A1876,customers!$C$1:C1876,,0))</f>
        <v>ocomberob@goo.gl</v>
      </c>
      <c r="I877" s="2" t="str">
        <f>_xlfn.XLOOKUP(C877,customers!$A$1:$A$1001,customers!$G$1:$G$1001,,0)</f>
        <v>Ireland</v>
      </c>
      <c r="J877" s="2" t="str">
        <f>_xlfn.XLOOKUP(Orders[[#This Row],[Customer ID]],customers!$A$1:$A$1001,customers!$F$1:$F$1001,,0)</f>
        <v>Confey</v>
      </c>
      <c r="K877" t="str">
        <f>INDEX(products!$A$1:$G$49,MATCH(orders!$D877,products!$A$1:$A$49,0),MATCH(orders!K$1,products!$A$1:$G$1,0))</f>
        <v>Lib</v>
      </c>
      <c r="L877" t="str">
        <f>INDEX(products!$A$1:$G$49,MATCH(orders!$D877,products!$A$1:$A$49,0),MATCH(orders!L$1,products!$A$1:$G$1,0))</f>
        <v>M</v>
      </c>
      <c r="M877" s="14">
        <f>INDEX(products!$A$1:$G$49,MATCH(orders!$D877,products!$A$1:$A$49,0),MATCH(orders!M$1,products!$A$1:$G$1,0))</f>
        <v>0.5</v>
      </c>
      <c r="N877" s="4">
        <f>INDEX(products!$A$1:$G$49,MATCH(orders!$D877,products!$A$1:$A$49,0),MATCH(orders!N$1,products!$A$1:$G$1,0))</f>
        <v>8.73</v>
      </c>
      <c r="O877" s="13">
        <f t="shared" si="65"/>
        <v>43.650000000000006</v>
      </c>
      <c r="P877" s="13">
        <f>_xlfn.XLOOKUP(Orders[[#This Row],[Product ID]],products!$A$1:$A$49,products!$G$1:$G$49,,0)</f>
        <v>1.1349</v>
      </c>
      <c r="Q877" s="13">
        <f t="shared" si="66"/>
        <v>5.6745000000000001</v>
      </c>
      <c r="R877" t="str">
        <f t="shared" si="68"/>
        <v>Liberica</v>
      </c>
      <c r="S877" t="str">
        <f t="shared" si="69"/>
        <v>Medium</v>
      </c>
      <c r="T877" t="str">
        <f>_xlfn.XLOOKUP(Orders[[#This Row],[Customer ID]],customers!$A$1:$A$1001,customers!$I$1:$I$1001,,0)</f>
        <v>No</v>
      </c>
    </row>
    <row r="878" spans="1:20" x14ac:dyDescent="0.35">
      <c r="A878" s="2" t="s">
        <v>5439</v>
      </c>
      <c r="B878" s="3">
        <v>44253</v>
      </c>
      <c r="C878" s="2" t="s">
        <v>5440</v>
      </c>
      <c r="D878" t="s">
        <v>6180</v>
      </c>
      <c r="E878" t="str">
        <f t="shared" si="67"/>
        <v>Arabica-Light-0.5</v>
      </c>
      <c r="F878" s="2">
        <v>6</v>
      </c>
      <c r="G878" s="2" t="str" cm="1">
        <f t="array" ref="G878">_xlfn.XLOOKUP(C878, customers!$A$1:A1877,customers!$B$1:B1877,,0)</f>
        <v>Orazio Comber</v>
      </c>
      <c r="H878" s="2" t="str" cm="1">
        <f t="array" ref="H878">IF(_xlfn.XLOOKUP(C878,customers!$A$1:A1877,customers!$C$1:C1877,,0) = 0,"", _xlfn.XLOOKUP(C878,customers!$A$1:A1877,customers!$C$1:C1877,,0))</f>
        <v>ocomberob@goo.gl</v>
      </c>
      <c r="I878" s="2" t="str">
        <f>_xlfn.XLOOKUP(C878,customers!$A$1:$A$1001,customers!$G$1:$G$1001,,0)</f>
        <v>Ireland</v>
      </c>
      <c r="J878" s="2" t="str">
        <f>_xlfn.XLOOKUP(Orders[[#This Row],[Customer ID]],customers!$A$1:$A$1001,customers!$F$1:$F$1001,,0)</f>
        <v>Confey</v>
      </c>
      <c r="K878" t="str">
        <f>INDEX(products!$A$1:$G$49,MATCH(orders!$D878,products!$A$1:$A$49,0),MATCH(orders!K$1,products!$A$1:$G$1,0))</f>
        <v>Ara</v>
      </c>
      <c r="L878" t="str">
        <f>INDEX(products!$A$1:$G$49,MATCH(orders!$D878,products!$A$1:$A$49,0),MATCH(orders!L$1,products!$A$1:$G$1,0))</f>
        <v>L</v>
      </c>
      <c r="M878" s="14">
        <f>INDEX(products!$A$1:$G$49,MATCH(orders!$D878,products!$A$1:$A$49,0),MATCH(orders!M$1,products!$A$1:$G$1,0))</f>
        <v>0.5</v>
      </c>
      <c r="N878" s="4">
        <f>INDEX(products!$A$1:$G$49,MATCH(orders!$D878,products!$A$1:$A$49,0),MATCH(orders!N$1,products!$A$1:$G$1,0))</f>
        <v>7.77</v>
      </c>
      <c r="O878" s="13">
        <f t="shared" si="65"/>
        <v>46.62</v>
      </c>
      <c r="P878" s="13">
        <f>_xlfn.XLOOKUP(Orders[[#This Row],[Product ID]],products!$A$1:$A$49,products!$G$1:$G$49,,0)</f>
        <v>0.69929999999999992</v>
      </c>
      <c r="Q878" s="13">
        <f t="shared" si="66"/>
        <v>4.1957999999999993</v>
      </c>
      <c r="R878" t="str">
        <f t="shared" si="68"/>
        <v>Arabica</v>
      </c>
      <c r="S878" t="str">
        <f t="shared" si="69"/>
        <v>Light</v>
      </c>
      <c r="T878" t="str">
        <f>_xlfn.XLOOKUP(Orders[[#This Row],[Customer ID]],customers!$A$1:$A$1001,customers!$I$1:$I$1001,,0)</f>
        <v>No</v>
      </c>
    </row>
    <row r="879" spans="1:20" x14ac:dyDescent="0.35">
      <c r="A879" s="2" t="s">
        <v>5450</v>
      </c>
      <c r="B879" s="3">
        <v>44411</v>
      </c>
      <c r="C879" s="2" t="s">
        <v>5451</v>
      </c>
      <c r="D879" t="s">
        <v>6161</v>
      </c>
      <c r="E879" t="str">
        <f t="shared" si="67"/>
        <v>Liberica-Light-0.5</v>
      </c>
      <c r="F879" s="2">
        <v>3</v>
      </c>
      <c r="G879" s="2" t="str" cm="1">
        <f t="array" ref="G879">_xlfn.XLOOKUP(C879, customers!$A$1:A1878,customers!$B$1:B1878,,0)</f>
        <v>Zachary Tramel</v>
      </c>
      <c r="H879" s="2" t="str" cm="1">
        <f t="array" ref="H879">IF(_xlfn.XLOOKUP(C879,customers!$A$1:A1878,customers!$C$1:C1878,,0) = 0,"", _xlfn.XLOOKUP(C879,customers!$A$1:A1878,customers!$C$1:C1878,,0))</f>
        <v>ztramelod@netlog.com</v>
      </c>
      <c r="I879" s="2" t="str">
        <f>_xlfn.XLOOKUP(C879,customers!$A$1:$A$1001,customers!$G$1:$G$1001,,0)</f>
        <v>United States</v>
      </c>
      <c r="J879" s="2" t="str">
        <f>_xlfn.XLOOKUP(Orders[[#This Row],[Customer ID]],customers!$A$1:$A$1001,customers!$F$1:$F$1001,,0)</f>
        <v>Newark</v>
      </c>
      <c r="K879" t="str">
        <f>INDEX(products!$A$1:$G$49,MATCH(orders!$D879,products!$A$1:$A$49,0),MATCH(orders!K$1,products!$A$1:$G$1,0))</f>
        <v>Lib</v>
      </c>
      <c r="L879" t="str">
        <f>INDEX(products!$A$1:$G$49,MATCH(orders!$D879,products!$A$1:$A$49,0),MATCH(orders!L$1,products!$A$1:$G$1,0))</f>
        <v>L</v>
      </c>
      <c r="M879" s="14">
        <f>INDEX(products!$A$1:$G$49,MATCH(orders!$D879,products!$A$1:$A$49,0),MATCH(orders!M$1,products!$A$1:$G$1,0))</f>
        <v>0.5</v>
      </c>
      <c r="N879" s="4">
        <f>INDEX(products!$A$1:$G$49,MATCH(orders!$D879,products!$A$1:$A$49,0),MATCH(orders!N$1,products!$A$1:$G$1,0))</f>
        <v>9.51</v>
      </c>
      <c r="O879" s="13">
        <f t="shared" si="65"/>
        <v>28.53</v>
      </c>
      <c r="P879" s="13">
        <f>_xlfn.XLOOKUP(Orders[[#This Row],[Product ID]],products!$A$1:$A$49,products!$G$1:$G$49,,0)</f>
        <v>1.2363</v>
      </c>
      <c r="Q879" s="13">
        <f t="shared" si="66"/>
        <v>3.7088999999999999</v>
      </c>
      <c r="R879" t="str">
        <f t="shared" si="68"/>
        <v>Liberica</v>
      </c>
      <c r="S879" t="str">
        <f t="shared" si="69"/>
        <v>Light</v>
      </c>
      <c r="T879" t="str">
        <f>_xlfn.XLOOKUP(Orders[[#This Row],[Customer ID]],customers!$A$1:$A$1001,customers!$I$1:$I$1001,,0)</f>
        <v>No</v>
      </c>
    </row>
    <row r="880" spans="1:20" x14ac:dyDescent="0.35">
      <c r="A880" s="2" t="s">
        <v>5456</v>
      </c>
      <c r="B880" s="3">
        <v>44323</v>
      </c>
      <c r="C880" s="2" t="s">
        <v>5457</v>
      </c>
      <c r="D880" t="s">
        <v>6142</v>
      </c>
      <c r="E880" t="str">
        <f t="shared" si="67"/>
        <v>Robusta-Light-2.5</v>
      </c>
      <c r="F880" s="2">
        <v>1</v>
      </c>
      <c r="G880" s="2" t="str" cm="1">
        <f t="array" ref="G880">_xlfn.XLOOKUP(C880, customers!$A$1:A1879,customers!$B$1:B1879,,0)</f>
        <v>Izaak Primak</v>
      </c>
      <c r="H880" s="2" t="str" cm="1">
        <f t="array" ref="H880">IF(_xlfn.XLOOKUP(C880,customers!$A$1:A1879,customers!$C$1:C1879,,0) = 0,"", _xlfn.XLOOKUP(C880,customers!$A$1:A1879,customers!$C$1:C1879,,0))</f>
        <v/>
      </c>
      <c r="I880" s="2" t="str">
        <f>_xlfn.XLOOKUP(C880,customers!$A$1:$A$1001,customers!$G$1:$G$1001,,0)</f>
        <v>United States</v>
      </c>
      <c r="J880" s="2" t="str">
        <f>_xlfn.XLOOKUP(Orders[[#This Row],[Customer ID]],customers!$A$1:$A$1001,customers!$F$1:$F$1001,,0)</f>
        <v>Seattle</v>
      </c>
      <c r="K880" t="str">
        <f>INDEX(products!$A$1:$G$49,MATCH(orders!$D880,products!$A$1:$A$49,0),MATCH(orders!K$1,products!$A$1:$G$1,0))</f>
        <v>Rob</v>
      </c>
      <c r="L880" t="str">
        <f>INDEX(products!$A$1:$G$49,MATCH(orders!$D880,products!$A$1:$A$49,0),MATCH(orders!L$1,products!$A$1:$G$1,0))</f>
        <v>L</v>
      </c>
      <c r="M880" s="14">
        <f>INDEX(products!$A$1:$G$49,MATCH(orders!$D880,products!$A$1:$A$49,0),MATCH(orders!M$1,products!$A$1:$G$1,0))</f>
        <v>2.5</v>
      </c>
      <c r="N880" s="4">
        <f>INDEX(products!$A$1:$G$49,MATCH(orders!$D880,products!$A$1:$A$49,0),MATCH(orders!N$1,products!$A$1:$G$1,0))</f>
        <v>27.484999999999996</v>
      </c>
      <c r="O880" s="13">
        <f t="shared" si="65"/>
        <v>27.484999999999996</v>
      </c>
      <c r="P880" s="13">
        <f>_xlfn.XLOOKUP(Orders[[#This Row],[Product ID]],products!$A$1:$A$49,products!$G$1:$G$49,,0)</f>
        <v>1.6490999999999998</v>
      </c>
      <c r="Q880" s="13">
        <f t="shared" si="66"/>
        <v>1.6490999999999998</v>
      </c>
      <c r="R880" t="str">
        <f t="shared" si="68"/>
        <v>Robusta</v>
      </c>
      <c r="S880" t="str">
        <f t="shared" si="69"/>
        <v>Light</v>
      </c>
      <c r="T880" t="str">
        <f>_xlfn.XLOOKUP(Orders[[#This Row],[Customer ID]],customers!$A$1:$A$1001,customers!$I$1:$I$1001,,0)</f>
        <v>Yes</v>
      </c>
    </row>
    <row r="881" spans="1:20" x14ac:dyDescent="0.35">
      <c r="A881" s="2" t="s">
        <v>5461</v>
      </c>
      <c r="B881" s="3">
        <v>43630</v>
      </c>
      <c r="C881" s="2" t="s">
        <v>5462</v>
      </c>
      <c r="D881" t="s">
        <v>6153</v>
      </c>
      <c r="E881" t="str">
        <f t="shared" si="67"/>
        <v>Excelsa-Dark-0.2</v>
      </c>
      <c r="F881" s="2">
        <v>3</v>
      </c>
      <c r="G881" s="2" t="str" cm="1">
        <f t="array" ref="G881">_xlfn.XLOOKUP(C881, customers!$A$1:A1880,customers!$B$1:B1880,,0)</f>
        <v>Brittani Thoresbie</v>
      </c>
      <c r="H881" s="2" t="str" cm="1">
        <f t="array" ref="H881">IF(_xlfn.XLOOKUP(C881,customers!$A$1:A1880,customers!$C$1:C1880,,0) = 0,"", _xlfn.XLOOKUP(C881,customers!$A$1:A1880,customers!$C$1:C1880,,0))</f>
        <v/>
      </c>
      <c r="I881" s="2" t="str">
        <f>_xlfn.XLOOKUP(C881,customers!$A$1:$A$1001,customers!$G$1:$G$1001,,0)</f>
        <v>United States</v>
      </c>
      <c r="J881" s="2" t="str">
        <f>_xlfn.XLOOKUP(Orders[[#This Row],[Customer ID]],customers!$A$1:$A$1001,customers!$F$1:$F$1001,,0)</f>
        <v>Englewood</v>
      </c>
      <c r="K881" t="str">
        <f>INDEX(products!$A$1:$G$49,MATCH(orders!$D881,products!$A$1:$A$49,0),MATCH(orders!K$1,products!$A$1:$G$1,0))</f>
        <v>Exc</v>
      </c>
      <c r="L881" t="str">
        <f>INDEX(products!$A$1:$G$49,MATCH(orders!$D881,products!$A$1:$A$49,0),MATCH(orders!L$1,products!$A$1:$G$1,0))</f>
        <v>D</v>
      </c>
      <c r="M881" s="14">
        <f>INDEX(products!$A$1:$G$49,MATCH(orders!$D881,products!$A$1:$A$49,0),MATCH(orders!M$1,products!$A$1:$G$1,0))</f>
        <v>0.2</v>
      </c>
      <c r="N881" s="4">
        <f>INDEX(products!$A$1:$G$49,MATCH(orders!$D881,products!$A$1:$A$49,0),MATCH(orders!N$1,products!$A$1:$G$1,0))</f>
        <v>3.645</v>
      </c>
      <c r="O881" s="13">
        <f t="shared" si="65"/>
        <v>10.935</v>
      </c>
      <c r="P881" s="13">
        <f>_xlfn.XLOOKUP(Orders[[#This Row],[Product ID]],products!$A$1:$A$49,products!$G$1:$G$49,,0)</f>
        <v>0.40095000000000003</v>
      </c>
      <c r="Q881" s="13">
        <f t="shared" si="66"/>
        <v>1.2028500000000002</v>
      </c>
      <c r="R881" t="str">
        <f t="shared" si="68"/>
        <v>Execelsa</v>
      </c>
      <c r="S881" t="str">
        <f t="shared" si="69"/>
        <v>Dark</v>
      </c>
      <c r="T881" t="str">
        <f>_xlfn.XLOOKUP(Orders[[#This Row],[Customer ID]],customers!$A$1:$A$1001,customers!$I$1:$I$1001,,0)</f>
        <v>No</v>
      </c>
    </row>
    <row r="882" spans="1:20" x14ac:dyDescent="0.35">
      <c r="A882" s="2" t="s">
        <v>5466</v>
      </c>
      <c r="B882" s="3">
        <v>43790</v>
      </c>
      <c r="C882" s="2" t="s">
        <v>5467</v>
      </c>
      <c r="D882" t="s">
        <v>6178</v>
      </c>
      <c r="E882" t="str">
        <f t="shared" si="67"/>
        <v>Robusta-Light-0.2</v>
      </c>
      <c r="F882" s="2">
        <v>2</v>
      </c>
      <c r="G882" s="2" t="str" cm="1">
        <f t="array" ref="G882">_xlfn.XLOOKUP(C882, customers!$A$1:A1881,customers!$B$1:B1881,,0)</f>
        <v>Constanta Hatfull</v>
      </c>
      <c r="H882" s="2" t="str" cm="1">
        <f t="array" ref="H882">IF(_xlfn.XLOOKUP(C882,customers!$A$1:A1881,customers!$C$1:C1881,,0) = 0,"", _xlfn.XLOOKUP(C882,customers!$A$1:A1881,customers!$C$1:C1881,,0))</f>
        <v>chatfullog@ebay.com</v>
      </c>
      <c r="I882" s="2" t="str">
        <f>_xlfn.XLOOKUP(C882,customers!$A$1:$A$1001,customers!$G$1:$G$1001,,0)</f>
        <v>United States</v>
      </c>
      <c r="J882" s="2" t="str">
        <f>_xlfn.XLOOKUP(Orders[[#This Row],[Customer ID]],customers!$A$1:$A$1001,customers!$F$1:$F$1001,,0)</f>
        <v>Rockford</v>
      </c>
      <c r="K882" t="str">
        <f>INDEX(products!$A$1:$G$49,MATCH(orders!$D882,products!$A$1:$A$49,0),MATCH(orders!K$1,products!$A$1:$G$1,0))</f>
        <v>Rob</v>
      </c>
      <c r="L882" t="str">
        <f>INDEX(products!$A$1:$G$49,MATCH(orders!$D882,products!$A$1:$A$49,0),MATCH(orders!L$1,products!$A$1:$G$1,0))</f>
        <v>L</v>
      </c>
      <c r="M882" s="14">
        <f>INDEX(products!$A$1:$G$49,MATCH(orders!$D882,products!$A$1:$A$49,0),MATCH(orders!M$1,products!$A$1:$G$1,0))</f>
        <v>0.2</v>
      </c>
      <c r="N882" s="4">
        <f>INDEX(products!$A$1:$G$49,MATCH(orders!$D882,products!$A$1:$A$49,0),MATCH(orders!N$1,products!$A$1:$G$1,0))</f>
        <v>3.5849999999999995</v>
      </c>
      <c r="O882" s="13">
        <f t="shared" si="65"/>
        <v>7.169999999999999</v>
      </c>
      <c r="P882" s="13">
        <f>_xlfn.XLOOKUP(Orders[[#This Row],[Product ID]],products!$A$1:$A$49,products!$G$1:$G$49,,0)</f>
        <v>0.21509999999999996</v>
      </c>
      <c r="Q882" s="13">
        <f t="shared" si="66"/>
        <v>0.43019999999999992</v>
      </c>
      <c r="R882" t="str">
        <f t="shared" si="68"/>
        <v>Robusta</v>
      </c>
      <c r="S882" t="str">
        <f t="shared" si="69"/>
        <v>Light</v>
      </c>
      <c r="T882" t="str">
        <f>_xlfn.XLOOKUP(Orders[[#This Row],[Customer ID]],customers!$A$1:$A$1001,customers!$I$1:$I$1001,,0)</f>
        <v>No</v>
      </c>
    </row>
    <row r="883" spans="1:20" x14ac:dyDescent="0.35">
      <c r="A883" s="2" t="s">
        <v>5472</v>
      </c>
      <c r="B883" s="3">
        <v>44286</v>
      </c>
      <c r="C883" s="2" t="s">
        <v>5473</v>
      </c>
      <c r="D883" t="s">
        <v>6167</v>
      </c>
      <c r="E883" t="str">
        <f t="shared" si="67"/>
        <v>Arabica-Light-0.2</v>
      </c>
      <c r="F883" s="2">
        <v>6</v>
      </c>
      <c r="G883" s="2" t="str" cm="1">
        <f t="array" ref="G883">_xlfn.XLOOKUP(C883, customers!$A$1:A1882,customers!$B$1:B1882,,0)</f>
        <v>Bobbe Castagneto</v>
      </c>
      <c r="H883" s="2" t="str" cm="1">
        <f t="array" ref="H883">IF(_xlfn.XLOOKUP(C883,customers!$A$1:A1882,customers!$C$1:C1882,,0) = 0,"", _xlfn.XLOOKUP(C883,customers!$A$1:A1882,customers!$C$1:C1882,,0))</f>
        <v/>
      </c>
      <c r="I883" s="2" t="str">
        <f>_xlfn.XLOOKUP(C883,customers!$A$1:$A$1001,customers!$G$1:$G$1001,,0)</f>
        <v>United States</v>
      </c>
      <c r="J883" s="2" t="str">
        <f>_xlfn.XLOOKUP(Orders[[#This Row],[Customer ID]],customers!$A$1:$A$1001,customers!$F$1:$F$1001,,0)</f>
        <v>Billings</v>
      </c>
      <c r="K883" t="str">
        <f>INDEX(products!$A$1:$G$49,MATCH(orders!$D883,products!$A$1:$A$49,0),MATCH(orders!K$1,products!$A$1:$G$1,0))</f>
        <v>Ara</v>
      </c>
      <c r="L883" t="str">
        <f>INDEX(products!$A$1:$G$49,MATCH(orders!$D883,products!$A$1:$A$49,0),MATCH(orders!L$1,products!$A$1:$G$1,0))</f>
        <v>L</v>
      </c>
      <c r="M883" s="14">
        <f>INDEX(products!$A$1:$G$49,MATCH(orders!$D883,products!$A$1:$A$49,0),MATCH(orders!M$1,products!$A$1:$G$1,0))</f>
        <v>0.2</v>
      </c>
      <c r="N883" s="4">
        <f>INDEX(products!$A$1:$G$49,MATCH(orders!$D883,products!$A$1:$A$49,0),MATCH(orders!N$1,products!$A$1:$G$1,0))</f>
        <v>3.8849999999999998</v>
      </c>
      <c r="O883" s="13">
        <f t="shared" si="65"/>
        <v>23.31</v>
      </c>
      <c r="P883" s="13">
        <f>_xlfn.XLOOKUP(Orders[[#This Row],[Product ID]],products!$A$1:$A$49,products!$G$1:$G$49,,0)</f>
        <v>0.34964999999999996</v>
      </c>
      <c r="Q883" s="13">
        <f t="shared" si="66"/>
        <v>2.0978999999999997</v>
      </c>
      <c r="R883" t="str">
        <f t="shared" si="68"/>
        <v>Arabica</v>
      </c>
      <c r="S883" t="str">
        <f t="shared" si="69"/>
        <v>Light</v>
      </c>
      <c r="T883" t="str">
        <f>_xlfn.XLOOKUP(Orders[[#This Row],[Customer ID]],customers!$A$1:$A$1001,customers!$I$1:$I$1001,,0)</f>
        <v>Yes</v>
      </c>
    </row>
    <row r="884" spans="1:20" x14ac:dyDescent="0.35">
      <c r="A884" s="2" t="s">
        <v>5477</v>
      </c>
      <c r="B884" s="3">
        <v>43647</v>
      </c>
      <c r="C884" s="2" t="s">
        <v>5526</v>
      </c>
      <c r="D884" t="s">
        <v>6168</v>
      </c>
      <c r="E884" t="str">
        <f t="shared" si="67"/>
        <v>Arabica-Dark-2.5</v>
      </c>
      <c r="F884" s="2">
        <v>5</v>
      </c>
      <c r="G884" s="2" t="str" cm="1">
        <f t="array" ref="G884">_xlfn.XLOOKUP(C884, customers!$A$1:A1883,customers!$B$1:B1883,,0)</f>
        <v>Kippie Marrison</v>
      </c>
      <c r="H884" s="2" t="str" cm="1">
        <f t="array" ref="H884">IF(_xlfn.XLOOKUP(C884,customers!$A$1:A1883,customers!$C$1:C1883,,0) = 0,"", _xlfn.XLOOKUP(C884,customers!$A$1:A1883,customers!$C$1:C1883,,0))</f>
        <v>kmarrisonoq@dropbox.com</v>
      </c>
      <c r="I884" s="2" t="str">
        <f>_xlfn.XLOOKUP(C884,customers!$A$1:$A$1001,customers!$G$1:$G$1001,,0)</f>
        <v>United States</v>
      </c>
      <c r="J884" s="2" t="str">
        <f>_xlfn.XLOOKUP(Orders[[#This Row],[Customer ID]],customers!$A$1:$A$1001,customers!$F$1:$F$1001,,0)</f>
        <v>Denver</v>
      </c>
      <c r="K884" t="str">
        <f>INDEX(products!$A$1:$G$49,MATCH(orders!$D884,products!$A$1:$A$49,0),MATCH(orders!K$1,products!$A$1:$G$1,0))</f>
        <v>Ara</v>
      </c>
      <c r="L884" t="str">
        <f>INDEX(products!$A$1:$G$49,MATCH(orders!$D884,products!$A$1:$A$49,0),MATCH(orders!L$1,products!$A$1:$G$1,0))</f>
        <v>D</v>
      </c>
      <c r="M884" s="14">
        <f>INDEX(products!$A$1:$G$49,MATCH(orders!$D884,products!$A$1:$A$49,0),MATCH(orders!M$1,products!$A$1:$G$1,0))</f>
        <v>2.5</v>
      </c>
      <c r="N884" s="4">
        <f>INDEX(products!$A$1:$G$49,MATCH(orders!$D884,products!$A$1:$A$49,0),MATCH(orders!N$1,products!$A$1:$G$1,0))</f>
        <v>22.884999999999998</v>
      </c>
      <c r="O884" s="13">
        <f t="shared" si="65"/>
        <v>114.42499999999998</v>
      </c>
      <c r="P884" s="13">
        <f>_xlfn.XLOOKUP(Orders[[#This Row],[Product ID]],products!$A$1:$A$49,products!$G$1:$G$49,,0)</f>
        <v>2.0596499999999995</v>
      </c>
      <c r="Q884" s="13">
        <f t="shared" si="66"/>
        <v>10.298249999999998</v>
      </c>
      <c r="R884" t="str">
        <f t="shared" si="68"/>
        <v>Arabica</v>
      </c>
      <c r="S884" t="str">
        <f t="shared" si="69"/>
        <v>Dark</v>
      </c>
      <c r="T884" t="str">
        <f>_xlfn.XLOOKUP(Orders[[#This Row],[Customer ID]],customers!$A$1:$A$1001,customers!$I$1:$I$1001,,0)</f>
        <v>Yes</v>
      </c>
    </row>
    <row r="885" spans="1:20" x14ac:dyDescent="0.35">
      <c r="A885" s="2" t="s">
        <v>5483</v>
      </c>
      <c r="B885" s="3">
        <v>43956</v>
      </c>
      <c r="C885" s="2" t="s">
        <v>5484</v>
      </c>
      <c r="D885" t="s">
        <v>6175</v>
      </c>
      <c r="E885" t="str">
        <f t="shared" si="67"/>
        <v>Arabica-Medium-2.5</v>
      </c>
      <c r="F885" s="2">
        <v>3</v>
      </c>
      <c r="G885" s="2" t="str" cm="1">
        <f t="array" ref="G885">_xlfn.XLOOKUP(C885, customers!$A$1:A1884,customers!$B$1:B1884,,0)</f>
        <v>Lindon Agnolo</v>
      </c>
      <c r="H885" s="2" t="str" cm="1">
        <f t="array" ref="H885">IF(_xlfn.XLOOKUP(C885,customers!$A$1:A1884,customers!$C$1:C1884,,0) = 0,"", _xlfn.XLOOKUP(C885,customers!$A$1:A1884,customers!$C$1:C1884,,0))</f>
        <v>lagnolooj@pinterest.com</v>
      </c>
      <c r="I885" s="2" t="str">
        <f>_xlfn.XLOOKUP(C885,customers!$A$1:$A$1001,customers!$G$1:$G$1001,,0)</f>
        <v>United States</v>
      </c>
      <c r="J885" s="2" t="str">
        <f>_xlfn.XLOOKUP(Orders[[#This Row],[Customer ID]],customers!$A$1:$A$1001,customers!$F$1:$F$1001,,0)</f>
        <v>Tulsa</v>
      </c>
      <c r="K885" t="str">
        <f>INDEX(products!$A$1:$G$49,MATCH(orders!$D885,products!$A$1:$A$49,0),MATCH(orders!K$1,products!$A$1:$G$1,0))</f>
        <v>Ara</v>
      </c>
      <c r="L885" t="str">
        <f>INDEX(products!$A$1:$G$49,MATCH(orders!$D885,products!$A$1:$A$49,0),MATCH(orders!L$1,products!$A$1:$G$1,0))</f>
        <v>M</v>
      </c>
      <c r="M885" s="14">
        <f>INDEX(products!$A$1:$G$49,MATCH(orders!$D885,products!$A$1:$A$49,0),MATCH(orders!M$1,products!$A$1:$G$1,0))</f>
        <v>2.5</v>
      </c>
      <c r="N885" s="4">
        <f>INDEX(products!$A$1:$G$49,MATCH(orders!$D885,products!$A$1:$A$49,0),MATCH(orders!N$1,products!$A$1:$G$1,0))</f>
        <v>25.874999999999996</v>
      </c>
      <c r="O885" s="13">
        <f t="shared" si="65"/>
        <v>77.624999999999986</v>
      </c>
      <c r="P885" s="13">
        <f>_xlfn.XLOOKUP(Orders[[#This Row],[Product ID]],products!$A$1:$A$49,products!$G$1:$G$49,,0)</f>
        <v>2.3287499999999994</v>
      </c>
      <c r="Q885" s="13">
        <f t="shared" si="66"/>
        <v>6.9862499999999983</v>
      </c>
      <c r="R885" t="str">
        <f t="shared" si="68"/>
        <v>Arabica</v>
      </c>
      <c r="S885" t="str">
        <f t="shared" si="69"/>
        <v>Medium</v>
      </c>
      <c r="T885" t="str">
        <f>_xlfn.XLOOKUP(Orders[[#This Row],[Customer ID]],customers!$A$1:$A$1001,customers!$I$1:$I$1001,,0)</f>
        <v>Yes</v>
      </c>
    </row>
    <row r="886" spans="1:20" x14ac:dyDescent="0.35">
      <c r="A886" s="2" t="s">
        <v>5489</v>
      </c>
      <c r="B886" s="3">
        <v>43941</v>
      </c>
      <c r="C886" s="2" t="s">
        <v>5490</v>
      </c>
      <c r="D886" t="s">
        <v>6172</v>
      </c>
      <c r="E886" t="str">
        <f t="shared" si="67"/>
        <v>Robusta-Dark-0.5</v>
      </c>
      <c r="F886" s="2">
        <v>1</v>
      </c>
      <c r="G886" s="2" t="str" cm="1">
        <f t="array" ref="G886">_xlfn.XLOOKUP(C886, customers!$A$1:A1885,customers!$B$1:B1885,,0)</f>
        <v>Delainey Kiddy</v>
      </c>
      <c r="H886" s="2" t="str" cm="1">
        <f t="array" ref="H886">IF(_xlfn.XLOOKUP(C886,customers!$A$1:A1885,customers!$C$1:C1885,,0) = 0,"", _xlfn.XLOOKUP(C886,customers!$A$1:A1885,customers!$C$1:C1885,,0))</f>
        <v>dkiddyok@fda.gov</v>
      </c>
      <c r="I886" s="2" t="str">
        <f>_xlfn.XLOOKUP(C886,customers!$A$1:$A$1001,customers!$G$1:$G$1001,,0)</f>
        <v>United States</v>
      </c>
      <c r="J886" s="2" t="str">
        <f>_xlfn.XLOOKUP(Orders[[#This Row],[Customer ID]],customers!$A$1:$A$1001,customers!$F$1:$F$1001,,0)</f>
        <v>Fresno</v>
      </c>
      <c r="K886" t="str">
        <f>INDEX(products!$A$1:$G$49,MATCH(orders!$D886,products!$A$1:$A$49,0),MATCH(orders!K$1,products!$A$1:$G$1,0))</f>
        <v>Rob</v>
      </c>
      <c r="L886" t="str">
        <f>INDEX(products!$A$1:$G$49,MATCH(orders!$D886,products!$A$1:$A$49,0),MATCH(orders!L$1,products!$A$1:$G$1,0))</f>
        <v>D</v>
      </c>
      <c r="M886" s="14">
        <f>INDEX(products!$A$1:$G$49,MATCH(orders!$D886,products!$A$1:$A$49,0),MATCH(orders!M$1,products!$A$1:$G$1,0))</f>
        <v>0.5</v>
      </c>
      <c r="N886" s="4">
        <f>INDEX(products!$A$1:$G$49,MATCH(orders!$D886,products!$A$1:$A$49,0),MATCH(orders!N$1,products!$A$1:$G$1,0))</f>
        <v>5.3699999999999992</v>
      </c>
      <c r="O886" s="13">
        <f t="shared" si="65"/>
        <v>5.3699999999999992</v>
      </c>
      <c r="P886" s="13">
        <f>_xlfn.XLOOKUP(Orders[[#This Row],[Product ID]],products!$A$1:$A$49,products!$G$1:$G$49,,0)</f>
        <v>0.32219999999999993</v>
      </c>
      <c r="Q886" s="13">
        <f t="shared" si="66"/>
        <v>0.32219999999999993</v>
      </c>
      <c r="R886" t="str">
        <f t="shared" si="68"/>
        <v>Robusta</v>
      </c>
      <c r="S886" t="str">
        <f t="shared" si="69"/>
        <v>Dark</v>
      </c>
      <c r="T886" t="str">
        <f>_xlfn.XLOOKUP(Orders[[#This Row],[Customer ID]],customers!$A$1:$A$1001,customers!$I$1:$I$1001,,0)</f>
        <v>Yes</v>
      </c>
    </row>
    <row r="887" spans="1:20" x14ac:dyDescent="0.35">
      <c r="A887" s="2" t="s">
        <v>5495</v>
      </c>
      <c r="B887" s="3">
        <v>43664</v>
      </c>
      <c r="C887" s="2" t="s">
        <v>5496</v>
      </c>
      <c r="D887" t="s">
        <v>6149</v>
      </c>
      <c r="E887" t="str">
        <f t="shared" si="67"/>
        <v>Robusta-Dark-2.5</v>
      </c>
      <c r="F887" s="2">
        <v>6</v>
      </c>
      <c r="G887" s="2" t="str" cm="1">
        <f t="array" ref="G887">_xlfn.XLOOKUP(C887, customers!$A$1:A1886,customers!$B$1:B1886,,0)</f>
        <v>Helli Petroulis</v>
      </c>
      <c r="H887" s="2" t="str" cm="1">
        <f t="array" ref="H887">IF(_xlfn.XLOOKUP(C887,customers!$A$1:A1886,customers!$C$1:C1886,,0) = 0,"", _xlfn.XLOOKUP(C887,customers!$A$1:A1886,customers!$C$1:C1886,,0))</f>
        <v>hpetroulisol@state.tx.us</v>
      </c>
      <c r="I887" s="2" t="str">
        <f>_xlfn.XLOOKUP(C887,customers!$A$1:$A$1001,customers!$G$1:$G$1001,,0)</f>
        <v>Ireland</v>
      </c>
      <c r="J887" s="2" t="str">
        <f>_xlfn.XLOOKUP(Orders[[#This Row],[Customer ID]],customers!$A$1:$A$1001,customers!$F$1:$F$1001,,0)</f>
        <v>Mullagh</v>
      </c>
      <c r="K887" t="str">
        <f>INDEX(products!$A$1:$G$49,MATCH(orders!$D887,products!$A$1:$A$49,0),MATCH(orders!K$1,products!$A$1:$G$1,0))</f>
        <v>Rob</v>
      </c>
      <c r="L887" t="str">
        <f>INDEX(products!$A$1:$G$49,MATCH(orders!$D887,products!$A$1:$A$49,0),MATCH(orders!L$1,products!$A$1:$G$1,0))</f>
        <v>D</v>
      </c>
      <c r="M887" s="14">
        <f>INDEX(products!$A$1:$G$49,MATCH(orders!$D887,products!$A$1:$A$49,0),MATCH(orders!M$1,products!$A$1:$G$1,0))</f>
        <v>2.5</v>
      </c>
      <c r="N887" s="4">
        <f>INDEX(products!$A$1:$G$49,MATCH(orders!$D887,products!$A$1:$A$49,0),MATCH(orders!N$1,products!$A$1:$G$1,0))</f>
        <v>20.584999999999997</v>
      </c>
      <c r="O887" s="13">
        <f t="shared" si="65"/>
        <v>123.50999999999999</v>
      </c>
      <c r="P887" s="13">
        <f>_xlfn.XLOOKUP(Orders[[#This Row],[Product ID]],products!$A$1:$A$49,products!$G$1:$G$49,,0)</f>
        <v>1.2350999999999999</v>
      </c>
      <c r="Q887" s="13">
        <f t="shared" si="66"/>
        <v>7.4105999999999987</v>
      </c>
      <c r="R887" t="str">
        <f t="shared" si="68"/>
        <v>Robusta</v>
      </c>
      <c r="S887" t="str">
        <f t="shared" si="69"/>
        <v>Dark</v>
      </c>
      <c r="T887" t="str">
        <f>_xlfn.XLOOKUP(Orders[[#This Row],[Customer ID]],customers!$A$1:$A$1001,customers!$I$1:$I$1001,,0)</f>
        <v>No</v>
      </c>
    </row>
    <row r="888" spans="1:20" x14ac:dyDescent="0.35">
      <c r="A888" s="2" t="s">
        <v>5501</v>
      </c>
      <c r="B888" s="3">
        <v>44518</v>
      </c>
      <c r="C888" s="2" t="s">
        <v>5502</v>
      </c>
      <c r="D888" t="s">
        <v>6160</v>
      </c>
      <c r="E888" t="str">
        <f t="shared" si="67"/>
        <v>Liberica-Medium-0.5</v>
      </c>
      <c r="F888" s="2">
        <v>2</v>
      </c>
      <c r="G888" s="2" t="str" cm="1">
        <f t="array" ref="G888">_xlfn.XLOOKUP(C888, customers!$A$1:A1887,customers!$B$1:B1887,,0)</f>
        <v>Marty Scholl</v>
      </c>
      <c r="H888" s="2" t="str" cm="1">
        <f t="array" ref="H888">IF(_xlfn.XLOOKUP(C888,customers!$A$1:A1887,customers!$C$1:C1887,,0) = 0,"", _xlfn.XLOOKUP(C888,customers!$A$1:A1887,customers!$C$1:C1887,,0))</f>
        <v>mschollom@taobao.com</v>
      </c>
      <c r="I888" s="2" t="str">
        <f>_xlfn.XLOOKUP(C888,customers!$A$1:$A$1001,customers!$G$1:$G$1001,,0)</f>
        <v>United States</v>
      </c>
      <c r="J888" s="2" t="str">
        <f>_xlfn.XLOOKUP(Orders[[#This Row],[Customer ID]],customers!$A$1:$A$1001,customers!$F$1:$F$1001,,0)</f>
        <v>San Francisco</v>
      </c>
      <c r="K888" t="str">
        <f>INDEX(products!$A$1:$G$49,MATCH(orders!$D888,products!$A$1:$A$49,0),MATCH(orders!K$1,products!$A$1:$G$1,0))</f>
        <v>Lib</v>
      </c>
      <c r="L888" t="str">
        <f>INDEX(products!$A$1:$G$49,MATCH(orders!$D888,products!$A$1:$A$49,0),MATCH(orders!L$1,products!$A$1:$G$1,0))</f>
        <v>M</v>
      </c>
      <c r="M888" s="14">
        <f>INDEX(products!$A$1:$G$49,MATCH(orders!$D888,products!$A$1:$A$49,0),MATCH(orders!M$1,products!$A$1:$G$1,0))</f>
        <v>0.5</v>
      </c>
      <c r="N888" s="4">
        <f>INDEX(products!$A$1:$G$49,MATCH(orders!$D888,products!$A$1:$A$49,0),MATCH(orders!N$1,products!$A$1:$G$1,0))</f>
        <v>8.73</v>
      </c>
      <c r="O888" s="13">
        <f t="shared" si="65"/>
        <v>17.46</v>
      </c>
      <c r="P888" s="13">
        <f>_xlfn.XLOOKUP(Orders[[#This Row],[Product ID]],products!$A$1:$A$49,products!$G$1:$G$49,,0)</f>
        <v>1.1349</v>
      </c>
      <c r="Q888" s="13">
        <f t="shared" si="66"/>
        <v>2.2698</v>
      </c>
      <c r="R888" t="str">
        <f t="shared" si="68"/>
        <v>Liberica</v>
      </c>
      <c r="S888" t="str">
        <f t="shared" si="69"/>
        <v>Medium</v>
      </c>
      <c r="T888" t="str">
        <f>_xlfn.XLOOKUP(Orders[[#This Row],[Customer ID]],customers!$A$1:$A$1001,customers!$I$1:$I$1001,,0)</f>
        <v>No</v>
      </c>
    </row>
    <row r="889" spans="1:20" x14ac:dyDescent="0.35">
      <c r="A889" s="2" t="s">
        <v>5507</v>
      </c>
      <c r="B889" s="3">
        <v>44002</v>
      </c>
      <c r="C889" s="2" t="s">
        <v>5508</v>
      </c>
      <c r="D889" t="s">
        <v>6184</v>
      </c>
      <c r="E889" t="str">
        <f t="shared" si="67"/>
        <v>Excelsa-Light-0.2</v>
      </c>
      <c r="F889" s="2">
        <v>3</v>
      </c>
      <c r="G889" s="2" t="str" cm="1">
        <f t="array" ref="G889">_xlfn.XLOOKUP(C889, customers!$A$1:A1888,customers!$B$1:B1888,,0)</f>
        <v>Kienan Ferson</v>
      </c>
      <c r="H889" s="2" t="str" cm="1">
        <f t="array" ref="H889">IF(_xlfn.XLOOKUP(C889,customers!$A$1:A1888,customers!$C$1:C1888,,0) = 0,"", _xlfn.XLOOKUP(C889,customers!$A$1:A1888,customers!$C$1:C1888,,0))</f>
        <v>kfersonon@g.co</v>
      </c>
      <c r="I889" s="2" t="str">
        <f>_xlfn.XLOOKUP(C889,customers!$A$1:$A$1001,customers!$G$1:$G$1001,,0)</f>
        <v>United States</v>
      </c>
      <c r="J889" s="2" t="str">
        <f>_xlfn.XLOOKUP(Orders[[#This Row],[Customer ID]],customers!$A$1:$A$1001,customers!$F$1:$F$1001,,0)</f>
        <v>Mobile</v>
      </c>
      <c r="K889" t="str">
        <f>INDEX(products!$A$1:$G$49,MATCH(orders!$D889,products!$A$1:$A$49,0),MATCH(orders!K$1,products!$A$1:$G$1,0))</f>
        <v>Exc</v>
      </c>
      <c r="L889" t="str">
        <f>INDEX(products!$A$1:$G$49,MATCH(orders!$D889,products!$A$1:$A$49,0),MATCH(orders!L$1,products!$A$1:$G$1,0))</f>
        <v>L</v>
      </c>
      <c r="M889" s="14">
        <f>INDEX(products!$A$1:$G$49,MATCH(orders!$D889,products!$A$1:$A$49,0),MATCH(orders!M$1,products!$A$1:$G$1,0))</f>
        <v>0.2</v>
      </c>
      <c r="N889" s="4">
        <f>INDEX(products!$A$1:$G$49,MATCH(orders!$D889,products!$A$1:$A$49,0),MATCH(orders!N$1,products!$A$1:$G$1,0))</f>
        <v>4.4550000000000001</v>
      </c>
      <c r="O889" s="13">
        <f t="shared" si="65"/>
        <v>13.365</v>
      </c>
      <c r="P889" s="13">
        <f>_xlfn.XLOOKUP(Orders[[#This Row],[Product ID]],products!$A$1:$A$49,products!$G$1:$G$49,,0)</f>
        <v>0.49004999999999999</v>
      </c>
      <c r="Q889" s="13">
        <f t="shared" si="66"/>
        <v>1.4701499999999998</v>
      </c>
      <c r="R889" t="str">
        <f t="shared" si="68"/>
        <v>Execelsa</v>
      </c>
      <c r="S889" t="str">
        <f t="shared" si="69"/>
        <v>Light</v>
      </c>
      <c r="T889" t="str">
        <f>_xlfn.XLOOKUP(Orders[[#This Row],[Customer ID]],customers!$A$1:$A$1001,customers!$I$1:$I$1001,,0)</f>
        <v>No</v>
      </c>
    </row>
    <row r="890" spans="1:20" x14ac:dyDescent="0.35">
      <c r="A890" s="2" t="s">
        <v>5513</v>
      </c>
      <c r="B890" s="3">
        <v>44292</v>
      </c>
      <c r="C890" s="2" t="s">
        <v>5514</v>
      </c>
      <c r="D890" t="s">
        <v>6167</v>
      </c>
      <c r="E890" t="str">
        <f t="shared" si="67"/>
        <v>Arabica-Light-0.2</v>
      </c>
      <c r="F890" s="2">
        <v>2</v>
      </c>
      <c r="G890" s="2" t="str" cm="1">
        <f t="array" ref="G890">_xlfn.XLOOKUP(C890, customers!$A$1:A1889,customers!$B$1:B1889,,0)</f>
        <v>Blake Kelloway</v>
      </c>
      <c r="H890" s="2" t="str" cm="1">
        <f t="array" ref="H890">IF(_xlfn.XLOOKUP(C890,customers!$A$1:A1889,customers!$C$1:C1889,,0) = 0,"", _xlfn.XLOOKUP(C890,customers!$A$1:A1889,customers!$C$1:C1889,,0))</f>
        <v>bkellowayoo@omniture.com</v>
      </c>
      <c r="I890" s="2" t="str">
        <f>_xlfn.XLOOKUP(C890,customers!$A$1:$A$1001,customers!$G$1:$G$1001,,0)</f>
        <v>United States</v>
      </c>
      <c r="J890" s="2" t="str">
        <f>_xlfn.XLOOKUP(Orders[[#This Row],[Customer ID]],customers!$A$1:$A$1001,customers!$F$1:$F$1001,,0)</f>
        <v>San Francisco</v>
      </c>
      <c r="K890" t="str">
        <f>INDEX(products!$A$1:$G$49,MATCH(orders!$D890,products!$A$1:$A$49,0),MATCH(orders!K$1,products!$A$1:$G$1,0))</f>
        <v>Ara</v>
      </c>
      <c r="L890" t="str">
        <f>INDEX(products!$A$1:$G$49,MATCH(orders!$D890,products!$A$1:$A$49,0),MATCH(orders!L$1,products!$A$1:$G$1,0))</f>
        <v>L</v>
      </c>
      <c r="M890" s="14">
        <f>INDEX(products!$A$1:$G$49,MATCH(orders!$D890,products!$A$1:$A$49,0),MATCH(orders!M$1,products!$A$1:$G$1,0))</f>
        <v>0.2</v>
      </c>
      <c r="N890" s="4">
        <f>INDEX(products!$A$1:$G$49,MATCH(orders!$D890,products!$A$1:$A$49,0),MATCH(orders!N$1,products!$A$1:$G$1,0))</f>
        <v>3.8849999999999998</v>
      </c>
      <c r="O890" s="13">
        <f t="shared" si="65"/>
        <v>7.77</v>
      </c>
      <c r="P890" s="13">
        <f>_xlfn.XLOOKUP(Orders[[#This Row],[Product ID]],products!$A$1:$A$49,products!$G$1:$G$49,,0)</f>
        <v>0.34964999999999996</v>
      </c>
      <c r="Q890" s="13">
        <f t="shared" si="66"/>
        <v>0.69929999999999992</v>
      </c>
      <c r="R890" t="str">
        <f t="shared" si="68"/>
        <v>Arabica</v>
      </c>
      <c r="S890" t="str">
        <f t="shared" si="69"/>
        <v>Light</v>
      </c>
      <c r="T890" t="str">
        <f>_xlfn.XLOOKUP(Orders[[#This Row],[Customer ID]],customers!$A$1:$A$1001,customers!$I$1:$I$1001,,0)</f>
        <v>Yes</v>
      </c>
    </row>
    <row r="891" spans="1:20" x14ac:dyDescent="0.35">
      <c r="A891" s="2" t="s">
        <v>5519</v>
      </c>
      <c r="B891" s="3">
        <v>43633</v>
      </c>
      <c r="C891" s="2" t="s">
        <v>5520</v>
      </c>
      <c r="D891" t="s">
        <v>6163</v>
      </c>
      <c r="E891" t="str">
        <f t="shared" si="67"/>
        <v>Robusta-Dark-0.2</v>
      </c>
      <c r="F891" s="2">
        <v>1</v>
      </c>
      <c r="G891" s="2" t="str" cm="1">
        <f t="array" ref="G891">_xlfn.XLOOKUP(C891, customers!$A$1:A1890,customers!$B$1:B1890,,0)</f>
        <v>Scarlett Oliffe</v>
      </c>
      <c r="H891" s="2" t="str" cm="1">
        <f t="array" ref="H891">IF(_xlfn.XLOOKUP(C891,customers!$A$1:A1890,customers!$C$1:C1890,,0) = 0,"", _xlfn.XLOOKUP(C891,customers!$A$1:A1890,customers!$C$1:C1890,,0))</f>
        <v>soliffeop@yellowbook.com</v>
      </c>
      <c r="I891" s="2" t="str">
        <f>_xlfn.XLOOKUP(C891,customers!$A$1:$A$1001,customers!$G$1:$G$1001,,0)</f>
        <v>United States</v>
      </c>
      <c r="J891" s="2" t="str">
        <f>_xlfn.XLOOKUP(Orders[[#This Row],[Customer ID]],customers!$A$1:$A$1001,customers!$F$1:$F$1001,,0)</f>
        <v>Jamaica</v>
      </c>
      <c r="K891" t="str">
        <f>INDEX(products!$A$1:$G$49,MATCH(orders!$D891,products!$A$1:$A$49,0),MATCH(orders!K$1,products!$A$1:$G$1,0))</f>
        <v>Rob</v>
      </c>
      <c r="L891" t="str">
        <f>INDEX(products!$A$1:$G$49,MATCH(orders!$D891,products!$A$1:$A$49,0),MATCH(orders!L$1,products!$A$1:$G$1,0))</f>
        <v>D</v>
      </c>
      <c r="M891" s="14">
        <f>INDEX(products!$A$1:$G$49,MATCH(orders!$D891,products!$A$1:$A$49,0),MATCH(orders!M$1,products!$A$1:$G$1,0))</f>
        <v>0.2</v>
      </c>
      <c r="N891" s="4">
        <f>INDEX(products!$A$1:$G$49,MATCH(orders!$D891,products!$A$1:$A$49,0),MATCH(orders!N$1,products!$A$1:$G$1,0))</f>
        <v>2.6849999999999996</v>
      </c>
      <c r="O891" s="13">
        <f t="shared" si="65"/>
        <v>2.6849999999999996</v>
      </c>
      <c r="P891" s="13">
        <f>_xlfn.XLOOKUP(Orders[[#This Row],[Product ID]],products!$A$1:$A$49,products!$G$1:$G$49,,0)</f>
        <v>0.16109999999999997</v>
      </c>
      <c r="Q891" s="13">
        <f t="shared" si="66"/>
        <v>0.16109999999999997</v>
      </c>
      <c r="R891" t="str">
        <f t="shared" si="68"/>
        <v>Robusta</v>
      </c>
      <c r="S891" t="str">
        <f t="shared" si="69"/>
        <v>Dark</v>
      </c>
      <c r="T891" t="str">
        <f>_xlfn.XLOOKUP(Orders[[#This Row],[Customer ID]],customers!$A$1:$A$1001,customers!$I$1:$I$1001,,0)</f>
        <v>Yes</v>
      </c>
    </row>
    <row r="892" spans="1:20" x14ac:dyDescent="0.35">
      <c r="A892" s="2" t="s">
        <v>5525</v>
      </c>
      <c r="B892" s="3">
        <v>44646</v>
      </c>
      <c r="C892" s="2" t="s">
        <v>5526</v>
      </c>
      <c r="D892" t="s">
        <v>6149</v>
      </c>
      <c r="E892" t="str">
        <f t="shared" si="67"/>
        <v>Robusta-Dark-2.5</v>
      </c>
      <c r="F892" s="2">
        <v>1</v>
      </c>
      <c r="G892" s="2" t="str" cm="1">
        <f t="array" ref="G892">_xlfn.XLOOKUP(C892, customers!$A$1:A1891,customers!$B$1:B1891,,0)</f>
        <v>Kippie Marrison</v>
      </c>
      <c r="H892" s="2" t="str" cm="1">
        <f t="array" ref="H892">IF(_xlfn.XLOOKUP(C892,customers!$A$1:A1891,customers!$C$1:C1891,,0) = 0,"", _xlfn.XLOOKUP(C892,customers!$A$1:A1891,customers!$C$1:C1891,,0))</f>
        <v>kmarrisonoq@dropbox.com</v>
      </c>
      <c r="I892" s="2" t="str">
        <f>_xlfn.XLOOKUP(C892,customers!$A$1:$A$1001,customers!$G$1:$G$1001,,0)</f>
        <v>United States</v>
      </c>
      <c r="J892" s="2" t="str">
        <f>_xlfn.XLOOKUP(Orders[[#This Row],[Customer ID]],customers!$A$1:$A$1001,customers!$F$1:$F$1001,,0)</f>
        <v>Denver</v>
      </c>
      <c r="K892" t="str">
        <f>INDEX(products!$A$1:$G$49,MATCH(orders!$D892,products!$A$1:$A$49,0),MATCH(orders!K$1,products!$A$1:$G$1,0))</f>
        <v>Rob</v>
      </c>
      <c r="L892" t="str">
        <f>INDEX(products!$A$1:$G$49,MATCH(orders!$D892,products!$A$1:$A$49,0),MATCH(orders!L$1,products!$A$1:$G$1,0))</f>
        <v>D</v>
      </c>
      <c r="M892" s="14">
        <f>INDEX(products!$A$1:$G$49,MATCH(orders!$D892,products!$A$1:$A$49,0),MATCH(orders!M$1,products!$A$1:$G$1,0))</f>
        <v>2.5</v>
      </c>
      <c r="N892" s="4">
        <f>INDEX(products!$A$1:$G$49,MATCH(orders!$D892,products!$A$1:$A$49,0),MATCH(orders!N$1,products!$A$1:$G$1,0))</f>
        <v>20.584999999999997</v>
      </c>
      <c r="O892" s="13">
        <f t="shared" si="65"/>
        <v>20.584999999999997</v>
      </c>
      <c r="P892" s="13">
        <f>_xlfn.XLOOKUP(Orders[[#This Row],[Product ID]],products!$A$1:$A$49,products!$G$1:$G$49,,0)</f>
        <v>1.2350999999999999</v>
      </c>
      <c r="Q892" s="13">
        <f t="shared" si="66"/>
        <v>1.2350999999999999</v>
      </c>
      <c r="R892" t="str">
        <f t="shared" si="68"/>
        <v>Robusta</v>
      </c>
      <c r="S892" t="str">
        <f t="shared" si="69"/>
        <v>Dark</v>
      </c>
      <c r="T892" t="str">
        <f>_xlfn.XLOOKUP(Orders[[#This Row],[Customer ID]],customers!$A$1:$A$1001,customers!$I$1:$I$1001,,0)</f>
        <v>Yes</v>
      </c>
    </row>
    <row r="893" spans="1:20" x14ac:dyDescent="0.35">
      <c r="A893" s="2" t="s">
        <v>5531</v>
      </c>
      <c r="B893" s="3">
        <v>44469</v>
      </c>
      <c r="C893" s="2" t="s">
        <v>5532</v>
      </c>
      <c r="D893" t="s">
        <v>6168</v>
      </c>
      <c r="E893" t="str">
        <f t="shared" si="67"/>
        <v>Arabica-Dark-2.5</v>
      </c>
      <c r="F893" s="2">
        <v>5</v>
      </c>
      <c r="G893" s="2" t="str" cm="1">
        <f t="array" ref="G893">_xlfn.XLOOKUP(C893, customers!$A$1:A1892,customers!$B$1:B1892,,0)</f>
        <v>Celestia Dolohunty</v>
      </c>
      <c r="H893" s="2" t="str" cm="1">
        <f t="array" ref="H893">IF(_xlfn.XLOOKUP(C893,customers!$A$1:A1892,customers!$C$1:C1892,,0) = 0,"", _xlfn.XLOOKUP(C893,customers!$A$1:A1892,customers!$C$1:C1892,,0))</f>
        <v>cdolohuntyor@dailymail.co.uk</v>
      </c>
      <c r="I893" s="2" t="str">
        <f>_xlfn.XLOOKUP(C893,customers!$A$1:$A$1001,customers!$G$1:$G$1001,,0)</f>
        <v>United States</v>
      </c>
      <c r="J893" s="2" t="str">
        <f>_xlfn.XLOOKUP(Orders[[#This Row],[Customer ID]],customers!$A$1:$A$1001,customers!$F$1:$F$1001,,0)</f>
        <v>San Diego</v>
      </c>
      <c r="K893" t="str">
        <f>INDEX(products!$A$1:$G$49,MATCH(orders!$D893,products!$A$1:$A$49,0),MATCH(orders!K$1,products!$A$1:$G$1,0))</f>
        <v>Ara</v>
      </c>
      <c r="L893" t="str">
        <f>INDEX(products!$A$1:$G$49,MATCH(orders!$D893,products!$A$1:$A$49,0),MATCH(orders!L$1,products!$A$1:$G$1,0))</f>
        <v>D</v>
      </c>
      <c r="M893" s="14">
        <f>INDEX(products!$A$1:$G$49,MATCH(orders!$D893,products!$A$1:$A$49,0),MATCH(orders!M$1,products!$A$1:$G$1,0))</f>
        <v>2.5</v>
      </c>
      <c r="N893" s="4">
        <f>INDEX(products!$A$1:$G$49,MATCH(orders!$D893,products!$A$1:$A$49,0),MATCH(orders!N$1,products!$A$1:$G$1,0))</f>
        <v>22.884999999999998</v>
      </c>
      <c r="O893" s="13">
        <f t="shared" si="65"/>
        <v>114.42499999999998</v>
      </c>
      <c r="P893" s="13">
        <f>_xlfn.XLOOKUP(Orders[[#This Row],[Product ID]],products!$A$1:$A$49,products!$G$1:$G$49,,0)</f>
        <v>2.0596499999999995</v>
      </c>
      <c r="Q893" s="13">
        <f t="shared" si="66"/>
        <v>10.298249999999998</v>
      </c>
      <c r="R893" t="str">
        <f t="shared" si="68"/>
        <v>Arabica</v>
      </c>
      <c r="S893" t="str">
        <f t="shared" si="69"/>
        <v>Dark</v>
      </c>
      <c r="T893" t="str">
        <f>_xlfn.XLOOKUP(Orders[[#This Row],[Customer ID]],customers!$A$1:$A$1001,customers!$I$1:$I$1001,,0)</f>
        <v>Yes</v>
      </c>
    </row>
    <row r="894" spans="1:20" x14ac:dyDescent="0.35">
      <c r="A894" s="2" t="s">
        <v>5537</v>
      </c>
      <c r="B894" s="3">
        <v>43635</v>
      </c>
      <c r="C894" s="2" t="s">
        <v>5538</v>
      </c>
      <c r="D894" t="s">
        <v>6156</v>
      </c>
      <c r="E894" t="str">
        <f t="shared" si="67"/>
        <v>Excelsa-Medium-0.2</v>
      </c>
      <c r="F894" s="2">
        <v>5</v>
      </c>
      <c r="G894" s="2" t="str" cm="1">
        <f t="array" ref="G894">_xlfn.XLOOKUP(C894, customers!$A$1:A1893,customers!$B$1:B1893,,0)</f>
        <v>Patsy Vasilenko</v>
      </c>
      <c r="H894" s="2" t="str" cm="1">
        <f t="array" ref="H894">IF(_xlfn.XLOOKUP(C894,customers!$A$1:A1893,customers!$C$1:C1893,,0) = 0,"", _xlfn.XLOOKUP(C894,customers!$A$1:A1893,customers!$C$1:C1893,,0))</f>
        <v>pvasilenkoos@addtoany.com</v>
      </c>
      <c r="I894" s="2" t="str">
        <f>_xlfn.XLOOKUP(C894,customers!$A$1:$A$1001,customers!$G$1:$G$1001,,0)</f>
        <v>United Kingdom</v>
      </c>
      <c r="J894" s="2" t="str">
        <f>_xlfn.XLOOKUP(Orders[[#This Row],[Customer ID]],customers!$A$1:$A$1001,customers!$F$1:$F$1001,,0)</f>
        <v>Preston</v>
      </c>
      <c r="K894" t="str">
        <f>INDEX(products!$A$1:$G$49,MATCH(orders!$D894,products!$A$1:$A$49,0),MATCH(orders!K$1,products!$A$1:$G$1,0))</f>
        <v>Exc</v>
      </c>
      <c r="L894" t="str">
        <f>INDEX(products!$A$1:$G$49,MATCH(orders!$D894,products!$A$1:$A$49,0),MATCH(orders!L$1,products!$A$1:$G$1,0))</f>
        <v>M</v>
      </c>
      <c r="M894" s="14">
        <f>INDEX(products!$A$1:$G$49,MATCH(orders!$D894,products!$A$1:$A$49,0),MATCH(orders!M$1,products!$A$1:$G$1,0))</f>
        <v>0.2</v>
      </c>
      <c r="N894" s="4">
        <f>INDEX(products!$A$1:$G$49,MATCH(orders!$D894,products!$A$1:$A$49,0),MATCH(orders!N$1,products!$A$1:$G$1,0))</f>
        <v>4.125</v>
      </c>
      <c r="O894" s="13">
        <f t="shared" si="65"/>
        <v>20.625</v>
      </c>
      <c r="P894" s="13">
        <f>_xlfn.XLOOKUP(Orders[[#This Row],[Product ID]],products!$A$1:$A$49,products!$G$1:$G$49,,0)</f>
        <v>0.45374999999999999</v>
      </c>
      <c r="Q894" s="13">
        <f t="shared" si="66"/>
        <v>2.2687499999999998</v>
      </c>
      <c r="R894" t="str">
        <f t="shared" si="68"/>
        <v>Execelsa</v>
      </c>
      <c r="S894" t="str">
        <f t="shared" si="69"/>
        <v>Medium</v>
      </c>
      <c r="T894" t="str">
        <f>_xlfn.XLOOKUP(Orders[[#This Row],[Customer ID]],customers!$A$1:$A$1001,customers!$I$1:$I$1001,,0)</f>
        <v>No</v>
      </c>
    </row>
    <row r="895" spans="1:20" x14ac:dyDescent="0.35">
      <c r="A895" s="2" t="s">
        <v>5543</v>
      </c>
      <c r="B895" s="3">
        <v>44651</v>
      </c>
      <c r="C895" s="2" t="s">
        <v>5544</v>
      </c>
      <c r="D895" t="s">
        <v>6161</v>
      </c>
      <c r="E895" t="str">
        <f t="shared" si="67"/>
        <v>Liberica-Light-0.5</v>
      </c>
      <c r="F895" s="2">
        <v>6</v>
      </c>
      <c r="G895" s="2" t="str" cm="1">
        <f t="array" ref="G895">_xlfn.XLOOKUP(C895, customers!$A$1:A1894,customers!$B$1:B1894,,0)</f>
        <v>Raphaela Schankelborg</v>
      </c>
      <c r="H895" s="2" t="str" cm="1">
        <f t="array" ref="H895">IF(_xlfn.XLOOKUP(C895,customers!$A$1:A1894,customers!$C$1:C1894,,0) = 0,"", _xlfn.XLOOKUP(C895,customers!$A$1:A1894,customers!$C$1:C1894,,0))</f>
        <v>rschankelborgot@ameblo.jp</v>
      </c>
      <c r="I895" s="2" t="str">
        <f>_xlfn.XLOOKUP(C895,customers!$A$1:$A$1001,customers!$G$1:$G$1001,,0)</f>
        <v>United States</v>
      </c>
      <c r="J895" s="2" t="str">
        <f>_xlfn.XLOOKUP(Orders[[#This Row],[Customer ID]],customers!$A$1:$A$1001,customers!$F$1:$F$1001,,0)</f>
        <v>Pittsburgh</v>
      </c>
      <c r="K895" t="str">
        <f>INDEX(products!$A$1:$G$49,MATCH(orders!$D895,products!$A$1:$A$49,0),MATCH(orders!K$1,products!$A$1:$G$1,0))</f>
        <v>Lib</v>
      </c>
      <c r="L895" t="str">
        <f>INDEX(products!$A$1:$G$49,MATCH(orders!$D895,products!$A$1:$A$49,0),MATCH(orders!L$1,products!$A$1:$G$1,0))</f>
        <v>L</v>
      </c>
      <c r="M895" s="14">
        <f>INDEX(products!$A$1:$G$49,MATCH(orders!$D895,products!$A$1:$A$49,0),MATCH(orders!M$1,products!$A$1:$G$1,0))</f>
        <v>0.5</v>
      </c>
      <c r="N895" s="4">
        <f>INDEX(products!$A$1:$G$49,MATCH(orders!$D895,products!$A$1:$A$49,0),MATCH(orders!N$1,products!$A$1:$G$1,0))</f>
        <v>9.51</v>
      </c>
      <c r="O895" s="13">
        <f t="shared" si="65"/>
        <v>57.06</v>
      </c>
      <c r="P895" s="13">
        <f>_xlfn.XLOOKUP(Orders[[#This Row],[Product ID]],products!$A$1:$A$49,products!$G$1:$G$49,,0)</f>
        <v>1.2363</v>
      </c>
      <c r="Q895" s="13">
        <f t="shared" si="66"/>
        <v>7.4177999999999997</v>
      </c>
      <c r="R895" t="str">
        <f t="shared" si="68"/>
        <v>Liberica</v>
      </c>
      <c r="S895" t="str">
        <f t="shared" si="69"/>
        <v>Light</v>
      </c>
      <c r="T895" t="str">
        <f>_xlfn.XLOOKUP(Orders[[#This Row],[Customer ID]],customers!$A$1:$A$1001,customers!$I$1:$I$1001,,0)</f>
        <v>Yes</v>
      </c>
    </row>
    <row r="896" spans="1:20" x14ac:dyDescent="0.35">
      <c r="A896" s="2" t="s">
        <v>5548</v>
      </c>
      <c r="B896" s="3">
        <v>44016</v>
      </c>
      <c r="C896" s="2" t="s">
        <v>5549</v>
      </c>
      <c r="D896" t="s">
        <v>6149</v>
      </c>
      <c r="E896" t="str">
        <f t="shared" si="67"/>
        <v>Robusta-Dark-2.5</v>
      </c>
      <c r="F896" s="2">
        <v>4</v>
      </c>
      <c r="G896" s="2" t="str" cm="1">
        <f t="array" ref="G896">_xlfn.XLOOKUP(C896, customers!$A$1:A1895,customers!$B$1:B1895,,0)</f>
        <v>Sharity Wickens</v>
      </c>
      <c r="H896" s="2" t="str" cm="1">
        <f t="array" ref="H896">IF(_xlfn.XLOOKUP(C896,customers!$A$1:A1895,customers!$C$1:C1895,,0) = 0,"", _xlfn.XLOOKUP(C896,customers!$A$1:A1895,customers!$C$1:C1895,,0))</f>
        <v/>
      </c>
      <c r="I896" s="2" t="str">
        <f>_xlfn.XLOOKUP(C896,customers!$A$1:$A$1001,customers!$G$1:$G$1001,,0)</f>
        <v>Ireland</v>
      </c>
      <c r="J896" s="2" t="str">
        <f>_xlfn.XLOOKUP(Orders[[#This Row],[Customer ID]],customers!$A$1:$A$1001,customers!$F$1:$F$1001,,0)</f>
        <v>Cavan</v>
      </c>
      <c r="K896" t="str">
        <f>INDEX(products!$A$1:$G$49,MATCH(orders!$D896,products!$A$1:$A$49,0),MATCH(orders!K$1,products!$A$1:$G$1,0))</f>
        <v>Rob</v>
      </c>
      <c r="L896" t="str">
        <f>INDEX(products!$A$1:$G$49,MATCH(orders!$D896,products!$A$1:$A$49,0),MATCH(orders!L$1,products!$A$1:$G$1,0))</f>
        <v>D</v>
      </c>
      <c r="M896" s="14">
        <f>INDEX(products!$A$1:$G$49,MATCH(orders!$D896,products!$A$1:$A$49,0),MATCH(orders!M$1,products!$A$1:$G$1,0))</f>
        <v>2.5</v>
      </c>
      <c r="N896" s="4">
        <f>INDEX(products!$A$1:$G$49,MATCH(orders!$D896,products!$A$1:$A$49,0),MATCH(orders!N$1,products!$A$1:$G$1,0))</f>
        <v>20.584999999999997</v>
      </c>
      <c r="O896" s="13">
        <f t="shared" si="65"/>
        <v>82.339999999999989</v>
      </c>
      <c r="P896" s="13">
        <f>_xlfn.XLOOKUP(Orders[[#This Row],[Product ID]],products!$A$1:$A$49,products!$G$1:$G$49,,0)</f>
        <v>1.2350999999999999</v>
      </c>
      <c r="Q896" s="13">
        <f t="shared" si="66"/>
        <v>4.9403999999999995</v>
      </c>
      <c r="R896" t="str">
        <f t="shared" si="68"/>
        <v>Robusta</v>
      </c>
      <c r="S896" t="str">
        <f t="shared" si="69"/>
        <v>Dark</v>
      </c>
      <c r="T896" t="str">
        <f>_xlfn.XLOOKUP(Orders[[#This Row],[Customer ID]],customers!$A$1:$A$1001,customers!$I$1:$I$1001,,0)</f>
        <v>Yes</v>
      </c>
    </row>
    <row r="897" spans="1:20" x14ac:dyDescent="0.35">
      <c r="A897" s="2" t="s">
        <v>5553</v>
      </c>
      <c r="B897" s="3">
        <v>44521</v>
      </c>
      <c r="C897" s="2" t="s">
        <v>5554</v>
      </c>
      <c r="D897" t="s">
        <v>6166</v>
      </c>
      <c r="E897" t="str">
        <f t="shared" si="67"/>
        <v>Excelsa-Medium-2.5</v>
      </c>
      <c r="F897" s="2">
        <v>5</v>
      </c>
      <c r="G897" s="2" t="str" cm="1">
        <f t="array" ref="G897">_xlfn.XLOOKUP(C897, customers!$A$1:A1896,customers!$B$1:B1896,,0)</f>
        <v>Derick Snow</v>
      </c>
      <c r="H897" s="2" t="str" cm="1">
        <f t="array" ref="H897">IF(_xlfn.XLOOKUP(C897,customers!$A$1:A1896,customers!$C$1:C1896,,0) = 0,"", _xlfn.XLOOKUP(C897,customers!$A$1:A1896,customers!$C$1:C1896,,0))</f>
        <v/>
      </c>
      <c r="I897" s="2" t="str">
        <f>_xlfn.XLOOKUP(C897,customers!$A$1:$A$1001,customers!$G$1:$G$1001,,0)</f>
        <v>United States</v>
      </c>
      <c r="J897" s="2" t="str">
        <f>_xlfn.XLOOKUP(Orders[[#This Row],[Customer ID]],customers!$A$1:$A$1001,customers!$F$1:$F$1001,,0)</f>
        <v>New York City</v>
      </c>
      <c r="K897" t="str">
        <f>INDEX(products!$A$1:$G$49,MATCH(orders!$D897,products!$A$1:$A$49,0),MATCH(orders!K$1,products!$A$1:$G$1,0))</f>
        <v>Exc</v>
      </c>
      <c r="L897" t="str">
        <f>INDEX(products!$A$1:$G$49,MATCH(orders!$D897,products!$A$1:$A$49,0),MATCH(orders!L$1,products!$A$1:$G$1,0))</f>
        <v>M</v>
      </c>
      <c r="M897" s="14">
        <f>INDEX(products!$A$1:$G$49,MATCH(orders!$D897,products!$A$1:$A$49,0),MATCH(orders!M$1,products!$A$1:$G$1,0))</f>
        <v>2.5</v>
      </c>
      <c r="N897" s="4">
        <f>INDEX(products!$A$1:$G$49,MATCH(orders!$D897,products!$A$1:$A$49,0),MATCH(orders!N$1,products!$A$1:$G$1,0))</f>
        <v>31.624999999999996</v>
      </c>
      <c r="O897" s="13">
        <f t="shared" si="65"/>
        <v>158.12499999999997</v>
      </c>
      <c r="P897" s="13">
        <f>_xlfn.XLOOKUP(Orders[[#This Row],[Product ID]],products!$A$1:$A$49,products!$G$1:$G$49,,0)</f>
        <v>3.4787499999999998</v>
      </c>
      <c r="Q897" s="13">
        <f t="shared" si="66"/>
        <v>17.393749999999997</v>
      </c>
      <c r="R897" t="str">
        <f t="shared" si="68"/>
        <v>Execelsa</v>
      </c>
      <c r="S897" t="str">
        <f t="shared" si="69"/>
        <v>Medium</v>
      </c>
      <c r="T897" t="str">
        <f>_xlfn.XLOOKUP(Orders[[#This Row],[Customer ID]],customers!$A$1:$A$1001,customers!$I$1:$I$1001,,0)</f>
        <v>No</v>
      </c>
    </row>
    <row r="898" spans="1:20" x14ac:dyDescent="0.35">
      <c r="A898" s="2" t="s">
        <v>5558</v>
      </c>
      <c r="B898" s="3">
        <v>44347</v>
      </c>
      <c r="C898" s="2" t="s">
        <v>5559</v>
      </c>
      <c r="D898" t="s">
        <v>6172</v>
      </c>
      <c r="E898" t="str">
        <f t="shared" si="67"/>
        <v>Robusta-Dark-0.5</v>
      </c>
      <c r="F898" s="2">
        <v>6</v>
      </c>
      <c r="G898" s="2" t="str" cm="1">
        <f t="array" ref="G898">_xlfn.XLOOKUP(C898, customers!$A$1:A1897,customers!$B$1:B1897,,0)</f>
        <v>Baxy Cargen</v>
      </c>
      <c r="H898" s="2" t="str" cm="1">
        <f t="array" ref="H898">IF(_xlfn.XLOOKUP(C898,customers!$A$1:A1897,customers!$C$1:C1897,,0) = 0,"", _xlfn.XLOOKUP(C898,customers!$A$1:A1897,customers!$C$1:C1897,,0))</f>
        <v>bcargenow@geocities.jp</v>
      </c>
      <c r="I898" s="2" t="str">
        <f>_xlfn.XLOOKUP(C898,customers!$A$1:$A$1001,customers!$G$1:$G$1001,,0)</f>
        <v>United States</v>
      </c>
      <c r="J898" s="2" t="str">
        <f>_xlfn.XLOOKUP(Orders[[#This Row],[Customer ID]],customers!$A$1:$A$1001,customers!$F$1:$F$1001,,0)</f>
        <v>Seattle</v>
      </c>
      <c r="K898" t="str">
        <f>INDEX(products!$A$1:$G$49,MATCH(orders!$D898,products!$A$1:$A$49,0),MATCH(orders!K$1,products!$A$1:$G$1,0))</f>
        <v>Rob</v>
      </c>
      <c r="L898" t="str">
        <f>INDEX(products!$A$1:$G$49,MATCH(orders!$D898,products!$A$1:$A$49,0),MATCH(orders!L$1,products!$A$1:$G$1,0))</f>
        <v>D</v>
      </c>
      <c r="M898" s="14">
        <f>INDEX(products!$A$1:$G$49,MATCH(orders!$D898,products!$A$1:$A$49,0),MATCH(orders!M$1,products!$A$1:$G$1,0))</f>
        <v>0.5</v>
      </c>
      <c r="N898" s="4">
        <f>INDEX(products!$A$1:$G$49,MATCH(orders!$D898,products!$A$1:$A$49,0),MATCH(orders!N$1,products!$A$1:$G$1,0))</f>
        <v>5.3699999999999992</v>
      </c>
      <c r="O898" s="13">
        <f t="shared" ref="O898:O961" si="70">N898*F898</f>
        <v>32.22</v>
      </c>
      <c r="P898" s="13">
        <f>_xlfn.XLOOKUP(Orders[[#This Row],[Product ID]],products!$A$1:$A$49,products!$G$1:$G$49,,0)</f>
        <v>0.32219999999999993</v>
      </c>
      <c r="Q898" s="13">
        <f t="shared" ref="Q898:Q961" si="71">P898*F898</f>
        <v>1.9331999999999996</v>
      </c>
      <c r="R898" t="str">
        <f t="shared" si="68"/>
        <v>Robusta</v>
      </c>
      <c r="S898" t="str">
        <f t="shared" si="69"/>
        <v>Dark</v>
      </c>
      <c r="T898" t="str">
        <f>_xlfn.XLOOKUP(Orders[[#This Row],[Customer ID]],customers!$A$1:$A$1001,customers!$I$1:$I$1001,,0)</f>
        <v>Yes</v>
      </c>
    </row>
    <row r="899" spans="1:20" x14ac:dyDescent="0.35">
      <c r="A899" s="2" t="s">
        <v>5564</v>
      </c>
      <c r="B899" s="3">
        <v>43932</v>
      </c>
      <c r="C899" s="2" t="s">
        <v>5565</v>
      </c>
      <c r="D899" t="s">
        <v>6183</v>
      </c>
      <c r="E899" t="str">
        <f t="shared" ref="E899:E962" si="72">IF(LEFT(D899,1)="R", "Robusta",
    IF(LEFT(D899,1)="A", "Arabica",
        IF(LEFT(D899,1)="E", "Excelsa",
            IF(LEFT(D899,1)="L", "Liberica", "")
        )
    )
) &amp; "-" &amp;
IF(MID(D899,3,1)="D", "Dark",
    IF(MID(D899,3,1)="M", "Medium",
        IF(MID(D899,3,1)="L", "Light", "")
    )
) &amp; "-" &amp;
MID(D899,5,LEN(D899)-4)</f>
        <v>Excelsa-Dark-1</v>
      </c>
      <c r="F899" s="2">
        <v>2</v>
      </c>
      <c r="G899" s="2" t="str" cm="1">
        <f t="array" ref="G899">_xlfn.XLOOKUP(C899, customers!$A$1:A1898,customers!$B$1:B1898,,0)</f>
        <v>Ryann Stickler</v>
      </c>
      <c r="H899" s="2" t="str" cm="1">
        <f t="array" ref="H899">IF(_xlfn.XLOOKUP(C899,customers!$A$1:A1898,customers!$C$1:C1898,,0) = 0,"", _xlfn.XLOOKUP(C899,customers!$A$1:A1898,customers!$C$1:C1898,,0))</f>
        <v>rsticklerox@printfriendly.com</v>
      </c>
      <c r="I899" s="2" t="str">
        <f>_xlfn.XLOOKUP(C899,customers!$A$1:$A$1001,customers!$G$1:$G$1001,,0)</f>
        <v>United Kingdom</v>
      </c>
      <c r="J899" s="2" t="str">
        <f>_xlfn.XLOOKUP(Orders[[#This Row],[Customer ID]],customers!$A$1:$A$1001,customers!$F$1:$F$1001,,0)</f>
        <v>Birmingham</v>
      </c>
      <c r="K899" t="str">
        <f>INDEX(products!$A$1:$G$49,MATCH(orders!$D899,products!$A$1:$A$49,0),MATCH(orders!K$1,products!$A$1:$G$1,0))</f>
        <v>Exc</v>
      </c>
      <c r="L899" t="str">
        <f>INDEX(products!$A$1:$G$49,MATCH(orders!$D899,products!$A$1:$A$49,0),MATCH(orders!L$1,products!$A$1:$G$1,0))</f>
        <v>D</v>
      </c>
      <c r="M899" s="14">
        <f>INDEX(products!$A$1:$G$49,MATCH(orders!$D899,products!$A$1:$A$49,0),MATCH(orders!M$1,products!$A$1:$G$1,0))</f>
        <v>1</v>
      </c>
      <c r="N899" s="4">
        <f>INDEX(products!$A$1:$G$49,MATCH(orders!$D899,products!$A$1:$A$49,0),MATCH(orders!N$1,products!$A$1:$G$1,0))</f>
        <v>12.15</v>
      </c>
      <c r="O899" s="13">
        <f t="shared" si="70"/>
        <v>24.3</v>
      </c>
      <c r="P899" s="13">
        <f>_xlfn.XLOOKUP(Orders[[#This Row],[Product ID]],products!$A$1:$A$49,products!$G$1:$G$49,,0)</f>
        <v>1.3365</v>
      </c>
      <c r="Q899" s="13">
        <f t="shared" si="71"/>
        <v>2.673</v>
      </c>
      <c r="R899" t="str">
        <f t="shared" ref="R899:R962" si="73">IF(K899="Rob","Robusta",IF(K899="Exc","Execelsa",IF(K899="Ara","Arabica",IF(K899="Lib","Liberica",""))))</f>
        <v>Execelsa</v>
      </c>
      <c r="S899" t="str">
        <f t="shared" ref="S899:S962" si="74" xml:space="preserve"> IF(L899="M", "Medium", IF(L899="L","Light",IF(L899="D","Dark","")))</f>
        <v>Dark</v>
      </c>
      <c r="T899" t="str">
        <f>_xlfn.XLOOKUP(Orders[[#This Row],[Customer ID]],customers!$A$1:$A$1001,customers!$I$1:$I$1001,,0)</f>
        <v>No</v>
      </c>
    </row>
    <row r="900" spans="1:20" x14ac:dyDescent="0.35">
      <c r="A900" s="2" t="s">
        <v>5570</v>
      </c>
      <c r="B900" s="3">
        <v>44089</v>
      </c>
      <c r="C900" s="2" t="s">
        <v>5571</v>
      </c>
      <c r="D900" t="s">
        <v>6173</v>
      </c>
      <c r="E900" t="str">
        <f t="shared" si="72"/>
        <v>Robusta-Light-0.5</v>
      </c>
      <c r="F900" s="2">
        <v>5</v>
      </c>
      <c r="G900" s="2" t="str" cm="1">
        <f t="array" ref="G900">_xlfn.XLOOKUP(C900, customers!$A$1:A1899,customers!$B$1:B1899,,0)</f>
        <v>Daryn Cassius</v>
      </c>
      <c r="H900" s="2" t="str" cm="1">
        <f t="array" ref="H900">IF(_xlfn.XLOOKUP(C900,customers!$A$1:A1899,customers!$C$1:C1899,,0) = 0,"", _xlfn.XLOOKUP(C900,customers!$A$1:A1899,customers!$C$1:C1899,,0))</f>
        <v/>
      </c>
      <c r="I900" s="2" t="str">
        <f>_xlfn.XLOOKUP(C900,customers!$A$1:$A$1001,customers!$G$1:$G$1001,,0)</f>
        <v>United States</v>
      </c>
      <c r="J900" s="2" t="str">
        <f>_xlfn.XLOOKUP(Orders[[#This Row],[Customer ID]],customers!$A$1:$A$1001,customers!$F$1:$F$1001,,0)</f>
        <v>Battle Creek</v>
      </c>
      <c r="K900" t="str">
        <f>INDEX(products!$A$1:$G$49,MATCH(orders!$D900,products!$A$1:$A$49,0),MATCH(orders!K$1,products!$A$1:$G$1,0))</f>
        <v>Rob</v>
      </c>
      <c r="L900" t="str">
        <f>INDEX(products!$A$1:$G$49,MATCH(orders!$D900,products!$A$1:$A$49,0),MATCH(orders!L$1,products!$A$1:$G$1,0))</f>
        <v>L</v>
      </c>
      <c r="M900" s="14">
        <f>INDEX(products!$A$1:$G$49,MATCH(orders!$D900,products!$A$1:$A$49,0),MATCH(orders!M$1,products!$A$1:$G$1,0))</f>
        <v>0.5</v>
      </c>
      <c r="N900" s="4">
        <f>INDEX(products!$A$1:$G$49,MATCH(orders!$D900,products!$A$1:$A$49,0),MATCH(orders!N$1,products!$A$1:$G$1,0))</f>
        <v>7.169999999999999</v>
      </c>
      <c r="O900" s="13">
        <f t="shared" si="70"/>
        <v>35.849999999999994</v>
      </c>
      <c r="P900" s="13">
        <f>_xlfn.XLOOKUP(Orders[[#This Row],[Product ID]],products!$A$1:$A$49,products!$G$1:$G$49,,0)</f>
        <v>0.43019999999999992</v>
      </c>
      <c r="Q900" s="13">
        <f t="shared" si="71"/>
        <v>2.1509999999999998</v>
      </c>
      <c r="R900" t="str">
        <f t="shared" si="73"/>
        <v>Robusta</v>
      </c>
      <c r="S900" t="str">
        <f t="shared" si="74"/>
        <v>Light</v>
      </c>
      <c r="T900" t="str">
        <f>_xlfn.XLOOKUP(Orders[[#This Row],[Customer ID]],customers!$A$1:$A$1001,customers!$I$1:$I$1001,,0)</f>
        <v>No</v>
      </c>
    </row>
    <row r="901" spans="1:20" x14ac:dyDescent="0.35">
      <c r="A901" s="2" t="s">
        <v>5575</v>
      </c>
      <c r="B901" s="3">
        <v>44523</v>
      </c>
      <c r="C901" s="2" t="s">
        <v>5554</v>
      </c>
      <c r="D901" t="s">
        <v>6162</v>
      </c>
      <c r="E901" t="str">
        <f t="shared" si="72"/>
        <v>Liberica-Medium-1</v>
      </c>
      <c r="F901" s="2">
        <v>5</v>
      </c>
      <c r="G901" s="2" t="str" cm="1">
        <f t="array" ref="G901">_xlfn.XLOOKUP(C901, customers!$A$1:A1900,customers!$B$1:B1900,,0)</f>
        <v>Derick Snow</v>
      </c>
      <c r="H901" s="2" t="str" cm="1">
        <f t="array" ref="H901">IF(_xlfn.XLOOKUP(C901,customers!$A$1:A1900,customers!$C$1:C1900,,0) = 0,"", _xlfn.XLOOKUP(C901,customers!$A$1:A1900,customers!$C$1:C1900,,0))</f>
        <v/>
      </c>
      <c r="I901" s="2" t="str">
        <f>_xlfn.XLOOKUP(C901,customers!$A$1:$A$1001,customers!$G$1:$G$1001,,0)</f>
        <v>United States</v>
      </c>
      <c r="J901" s="2" t="str">
        <f>_xlfn.XLOOKUP(Orders[[#This Row],[Customer ID]],customers!$A$1:$A$1001,customers!$F$1:$F$1001,,0)</f>
        <v>New York City</v>
      </c>
      <c r="K901" t="str">
        <f>INDEX(products!$A$1:$G$49,MATCH(orders!$D901,products!$A$1:$A$49,0),MATCH(orders!K$1,products!$A$1:$G$1,0))</f>
        <v>Lib</v>
      </c>
      <c r="L901" t="str">
        <f>INDEX(products!$A$1:$G$49,MATCH(orders!$D901,products!$A$1:$A$49,0),MATCH(orders!L$1,products!$A$1:$G$1,0))</f>
        <v>M</v>
      </c>
      <c r="M901" s="14">
        <f>INDEX(products!$A$1:$G$49,MATCH(orders!$D901,products!$A$1:$A$49,0),MATCH(orders!M$1,products!$A$1:$G$1,0))</f>
        <v>1</v>
      </c>
      <c r="N901" s="4">
        <f>INDEX(products!$A$1:$G$49,MATCH(orders!$D901,products!$A$1:$A$49,0),MATCH(orders!N$1,products!$A$1:$G$1,0))</f>
        <v>14.55</v>
      </c>
      <c r="O901" s="13">
        <f t="shared" si="70"/>
        <v>72.75</v>
      </c>
      <c r="P901" s="13">
        <f>_xlfn.XLOOKUP(Orders[[#This Row],[Product ID]],products!$A$1:$A$49,products!$G$1:$G$49,,0)</f>
        <v>1.8915000000000002</v>
      </c>
      <c r="Q901" s="13">
        <f t="shared" si="71"/>
        <v>9.4575000000000014</v>
      </c>
      <c r="R901" t="str">
        <f t="shared" si="73"/>
        <v>Liberica</v>
      </c>
      <c r="S901" t="str">
        <f t="shared" si="74"/>
        <v>Medium</v>
      </c>
      <c r="T901" t="str">
        <f>_xlfn.XLOOKUP(Orders[[#This Row],[Customer ID]],customers!$A$1:$A$1001,customers!$I$1:$I$1001,,0)</f>
        <v>No</v>
      </c>
    </row>
    <row r="902" spans="1:20" x14ac:dyDescent="0.35">
      <c r="A902" s="2" t="s">
        <v>5580</v>
      </c>
      <c r="B902" s="3">
        <v>44584</v>
      </c>
      <c r="C902" s="2" t="s">
        <v>5581</v>
      </c>
      <c r="D902" t="s">
        <v>6170</v>
      </c>
      <c r="E902" t="str">
        <f t="shared" si="72"/>
        <v>Liberica-Light-1</v>
      </c>
      <c r="F902" s="2">
        <v>3</v>
      </c>
      <c r="G902" s="2" t="str" cm="1">
        <f t="array" ref="G902">_xlfn.XLOOKUP(C902, customers!$A$1:A1901,customers!$B$1:B1901,,0)</f>
        <v>Skelly Dolohunty</v>
      </c>
      <c r="H902" s="2" t="str" cm="1">
        <f t="array" ref="H902">IF(_xlfn.XLOOKUP(C902,customers!$A$1:A1901,customers!$C$1:C1901,,0) = 0,"", _xlfn.XLOOKUP(C902,customers!$A$1:A1901,customers!$C$1:C1901,,0))</f>
        <v/>
      </c>
      <c r="I902" s="2" t="str">
        <f>_xlfn.XLOOKUP(C902,customers!$A$1:$A$1001,customers!$G$1:$G$1001,,0)</f>
        <v>Ireland</v>
      </c>
      <c r="J902" s="2" t="str">
        <f>_xlfn.XLOOKUP(Orders[[#This Row],[Customer ID]],customers!$A$1:$A$1001,customers!$F$1:$F$1001,,0)</f>
        <v>Ballymun</v>
      </c>
      <c r="K902" t="str">
        <f>INDEX(products!$A$1:$G$49,MATCH(orders!$D902,products!$A$1:$A$49,0),MATCH(orders!K$1,products!$A$1:$G$1,0))</f>
        <v>Lib</v>
      </c>
      <c r="L902" t="str">
        <f>INDEX(products!$A$1:$G$49,MATCH(orders!$D902,products!$A$1:$A$49,0),MATCH(orders!L$1,products!$A$1:$G$1,0))</f>
        <v>L</v>
      </c>
      <c r="M902" s="14">
        <f>INDEX(products!$A$1:$G$49,MATCH(orders!$D902,products!$A$1:$A$49,0),MATCH(orders!M$1,products!$A$1:$G$1,0))</f>
        <v>1</v>
      </c>
      <c r="N902" s="4">
        <f>INDEX(products!$A$1:$G$49,MATCH(orders!$D902,products!$A$1:$A$49,0),MATCH(orders!N$1,products!$A$1:$G$1,0))</f>
        <v>15.85</v>
      </c>
      <c r="O902" s="13">
        <f t="shared" si="70"/>
        <v>47.55</v>
      </c>
      <c r="P902" s="13">
        <f>_xlfn.XLOOKUP(Orders[[#This Row],[Product ID]],products!$A$1:$A$49,products!$G$1:$G$49,,0)</f>
        <v>2.0605000000000002</v>
      </c>
      <c r="Q902" s="13">
        <f t="shared" si="71"/>
        <v>6.1815000000000007</v>
      </c>
      <c r="R902" t="str">
        <f t="shared" si="73"/>
        <v>Liberica</v>
      </c>
      <c r="S902" t="str">
        <f t="shared" si="74"/>
        <v>Light</v>
      </c>
      <c r="T902" t="str">
        <f>_xlfn.XLOOKUP(Orders[[#This Row],[Customer ID]],customers!$A$1:$A$1001,customers!$I$1:$I$1001,,0)</f>
        <v>No</v>
      </c>
    </row>
    <row r="903" spans="1:20" x14ac:dyDescent="0.35">
      <c r="A903" s="2" t="s">
        <v>5585</v>
      </c>
      <c r="B903" s="3">
        <v>44223</v>
      </c>
      <c r="C903" s="2" t="s">
        <v>5586</v>
      </c>
      <c r="D903" t="s">
        <v>6178</v>
      </c>
      <c r="E903" t="str">
        <f t="shared" si="72"/>
        <v>Robusta-Light-0.2</v>
      </c>
      <c r="F903" s="2">
        <v>1</v>
      </c>
      <c r="G903" s="2" t="str" cm="1">
        <f t="array" ref="G903">_xlfn.XLOOKUP(C903, customers!$A$1:A1902,customers!$B$1:B1902,,0)</f>
        <v>Drake Jevon</v>
      </c>
      <c r="H903" s="2" t="str" cm="1">
        <f t="array" ref="H903">IF(_xlfn.XLOOKUP(C903,customers!$A$1:A1902,customers!$C$1:C1902,,0) = 0,"", _xlfn.XLOOKUP(C903,customers!$A$1:A1902,customers!$C$1:C1902,,0))</f>
        <v>djevonp1@ibm.com</v>
      </c>
      <c r="I903" s="2" t="str">
        <f>_xlfn.XLOOKUP(C903,customers!$A$1:$A$1001,customers!$G$1:$G$1001,,0)</f>
        <v>United States</v>
      </c>
      <c r="J903" s="2" t="str">
        <f>_xlfn.XLOOKUP(Orders[[#This Row],[Customer ID]],customers!$A$1:$A$1001,customers!$F$1:$F$1001,,0)</f>
        <v>Houston</v>
      </c>
      <c r="K903" t="str">
        <f>INDEX(products!$A$1:$G$49,MATCH(orders!$D903,products!$A$1:$A$49,0),MATCH(orders!K$1,products!$A$1:$G$1,0))</f>
        <v>Rob</v>
      </c>
      <c r="L903" t="str">
        <f>INDEX(products!$A$1:$G$49,MATCH(orders!$D903,products!$A$1:$A$49,0),MATCH(orders!L$1,products!$A$1:$G$1,0))</f>
        <v>L</v>
      </c>
      <c r="M903" s="14">
        <f>INDEX(products!$A$1:$G$49,MATCH(orders!$D903,products!$A$1:$A$49,0),MATCH(orders!M$1,products!$A$1:$G$1,0))</f>
        <v>0.2</v>
      </c>
      <c r="N903" s="4">
        <f>INDEX(products!$A$1:$G$49,MATCH(orders!$D903,products!$A$1:$A$49,0),MATCH(orders!N$1,products!$A$1:$G$1,0))</f>
        <v>3.5849999999999995</v>
      </c>
      <c r="O903" s="13">
        <f t="shared" si="70"/>
        <v>3.5849999999999995</v>
      </c>
      <c r="P903" s="13">
        <f>_xlfn.XLOOKUP(Orders[[#This Row],[Product ID]],products!$A$1:$A$49,products!$G$1:$G$49,,0)</f>
        <v>0.21509999999999996</v>
      </c>
      <c r="Q903" s="13">
        <f t="shared" si="71"/>
        <v>0.21509999999999996</v>
      </c>
      <c r="R903" t="str">
        <f t="shared" si="73"/>
        <v>Robusta</v>
      </c>
      <c r="S903" t="str">
        <f t="shared" si="74"/>
        <v>Light</v>
      </c>
      <c r="T903" t="str">
        <f>_xlfn.XLOOKUP(Orders[[#This Row],[Customer ID]],customers!$A$1:$A$1001,customers!$I$1:$I$1001,,0)</f>
        <v>Yes</v>
      </c>
    </row>
    <row r="904" spans="1:20" x14ac:dyDescent="0.35">
      <c r="A904" s="2" t="s">
        <v>5591</v>
      </c>
      <c r="B904" s="3">
        <v>43640</v>
      </c>
      <c r="C904" s="2" t="s">
        <v>5592</v>
      </c>
      <c r="D904" t="s">
        <v>6166</v>
      </c>
      <c r="E904" t="str">
        <f t="shared" si="72"/>
        <v>Excelsa-Medium-2.5</v>
      </c>
      <c r="F904" s="2">
        <v>5</v>
      </c>
      <c r="G904" s="2" t="str" cm="1">
        <f t="array" ref="G904">_xlfn.XLOOKUP(C904, customers!$A$1:A1903,customers!$B$1:B1903,,0)</f>
        <v>Hall Ranner</v>
      </c>
      <c r="H904" s="2" t="str" cm="1">
        <f t="array" ref="H904">IF(_xlfn.XLOOKUP(C904,customers!$A$1:A1903,customers!$C$1:C1903,,0) = 0,"", _xlfn.XLOOKUP(C904,customers!$A$1:A1903,customers!$C$1:C1903,,0))</f>
        <v>hrannerp2@omniture.com</v>
      </c>
      <c r="I904" s="2" t="str">
        <f>_xlfn.XLOOKUP(C904,customers!$A$1:$A$1001,customers!$G$1:$G$1001,,0)</f>
        <v>United States</v>
      </c>
      <c r="J904" s="2" t="str">
        <f>_xlfn.XLOOKUP(Orders[[#This Row],[Customer ID]],customers!$A$1:$A$1001,customers!$F$1:$F$1001,,0)</f>
        <v>Cincinnati</v>
      </c>
      <c r="K904" t="str">
        <f>INDEX(products!$A$1:$G$49,MATCH(orders!$D904,products!$A$1:$A$49,0),MATCH(orders!K$1,products!$A$1:$G$1,0))</f>
        <v>Exc</v>
      </c>
      <c r="L904" t="str">
        <f>INDEX(products!$A$1:$G$49,MATCH(orders!$D904,products!$A$1:$A$49,0),MATCH(orders!L$1,products!$A$1:$G$1,0))</f>
        <v>M</v>
      </c>
      <c r="M904" s="14">
        <f>INDEX(products!$A$1:$G$49,MATCH(orders!$D904,products!$A$1:$A$49,0),MATCH(orders!M$1,products!$A$1:$G$1,0))</f>
        <v>2.5</v>
      </c>
      <c r="N904" s="4">
        <f>INDEX(products!$A$1:$G$49,MATCH(orders!$D904,products!$A$1:$A$49,0),MATCH(orders!N$1,products!$A$1:$G$1,0))</f>
        <v>31.624999999999996</v>
      </c>
      <c r="O904" s="13">
        <f t="shared" si="70"/>
        <v>158.12499999999997</v>
      </c>
      <c r="P904" s="13">
        <f>_xlfn.XLOOKUP(Orders[[#This Row],[Product ID]],products!$A$1:$A$49,products!$G$1:$G$49,,0)</f>
        <v>3.4787499999999998</v>
      </c>
      <c r="Q904" s="13">
        <f t="shared" si="71"/>
        <v>17.393749999999997</v>
      </c>
      <c r="R904" t="str">
        <f t="shared" si="73"/>
        <v>Execelsa</v>
      </c>
      <c r="S904" t="str">
        <f t="shared" si="74"/>
        <v>Medium</v>
      </c>
      <c r="T904" t="str">
        <f>_xlfn.XLOOKUP(Orders[[#This Row],[Customer ID]],customers!$A$1:$A$1001,customers!$I$1:$I$1001,,0)</f>
        <v>No</v>
      </c>
    </row>
    <row r="905" spans="1:20" x14ac:dyDescent="0.35">
      <c r="A905" s="2" t="s">
        <v>5597</v>
      </c>
      <c r="B905" s="3">
        <v>43905</v>
      </c>
      <c r="C905" s="2" t="s">
        <v>5598</v>
      </c>
      <c r="D905" t="s">
        <v>6160</v>
      </c>
      <c r="E905" t="str">
        <f t="shared" si="72"/>
        <v>Liberica-Medium-0.5</v>
      </c>
      <c r="F905" s="2">
        <v>2</v>
      </c>
      <c r="G905" s="2" t="str" cm="1">
        <f t="array" ref="G905">_xlfn.XLOOKUP(C905, customers!$A$1:A1904,customers!$B$1:B1904,,0)</f>
        <v>Berkly Imrie</v>
      </c>
      <c r="H905" s="2" t="str" cm="1">
        <f t="array" ref="H905">IF(_xlfn.XLOOKUP(C905,customers!$A$1:A1904,customers!$C$1:C1904,,0) = 0,"", _xlfn.XLOOKUP(C905,customers!$A$1:A1904,customers!$C$1:C1904,,0))</f>
        <v>bimriep3@addtoany.com</v>
      </c>
      <c r="I905" s="2" t="str">
        <f>_xlfn.XLOOKUP(C905,customers!$A$1:$A$1001,customers!$G$1:$G$1001,,0)</f>
        <v>United States</v>
      </c>
      <c r="J905" s="2" t="str">
        <f>_xlfn.XLOOKUP(Orders[[#This Row],[Customer ID]],customers!$A$1:$A$1001,customers!$F$1:$F$1001,,0)</f>
        <v>Fresno</v>
      </c>
      <c r="K905" t="str">
        <f>INDEX(products!$A$1:$G$49,MATCH(orders!$D905,products!$A$1:$A$49,0),MATCH(orders!K$1,products!$A$1:$G$1,0))</f>
        <v>Lib</v>
      </c>
      <c r="L905" t="str">
        <f>INDEX(products!$A$1:$G$49,MATCH(orders!$D905,products!$A$1:$A$49,0),MATCH(orders!L$1,products!$A$1:$G$1,0))</f>
        <v>M</v>
      </c>
      <c r="M905" s="14">
        <f>INDEX(products!$A$1:$G$49,MATCH(orders!$D905,products!$A$1:$A$49,0),MATCH(orders!M$1,products!$A$1:$G$1,0))</f>
        <v>0.5</v>
      </c>
      <c r="N905" s="4">
        <f>INDEX(products!$A$1:$G$49,MATCH(orders!$D905,products!$A$1:$A$49,0),MATCH(orders!N$1,products!$A$1:$G$1,0))</f>
        <v>8.73</v>
      </c>
      <c r="O905" s="13">
        <f t="shared" si="70"/>
        <v>17.46</v>
      </c>
      <c r="P905" s="13">
        <f>_xlfn.XLOOKUP(Orders[[#This Row],[Product ID]],products!$A$1:$A$49,products!$G$1:$G$49,,0)</f>
        <v>1.1349</v>
      </c>
      <c r="Q905" s="13">
        <f t="shared" si="71"/>
        <v>2.2698</v>
      </c>
      <c r="R905" t="str">
        <f t="shared" si="73"/>
        <v>Liberica</v>
      </c>
      <c r="S905" t="str">
        <f t="shared" si="74"/>
        <v>Medium</v>
      </c>
      <c r="T905" t="str">
        <f>_xlfn.XLOOKUP(Orders[[#This Row],[Customer ID]],customers!$A$1:$A$1001,customers!$I$1:$I$1001,,0)</f>
        <v>No</v>
      </c>
    </row>
    <row r="906" spans="1:20" x14ac:dyDescent="0.35">
      <c r="A906" s="2" t="s">
        <v>5603</v>
      </c>
      <c r="B906" s="3">
        <v>44463</v>
      </c>
      <c r="C906" s="2" t="s">
        <v>5604</v>
      </c>
      <c r="D906" t="s">
        <v>6182</v>
      </c>
      <c r="E906" t="str">
        <f t="shared" si="72"/>
        <v>Arabica-Light-2.5</v>
      </c>
      <c r="F906" s="2">
        <v>5</v>
      </c>
      <c r="G906" s="2" t="str" cm="1">
        <f t="array" ref="G906">_xlfn.XLOOKUP(C906, customers!$A$1:A1905,customers!$B$1:B1905,,0)</f>
        <v>Dorey Sopper</v>
      </c>
      <c r="H906" s="2" t="str" cm="1">
        <f t="array" ref="H906">IF(_xlfn.XLOOKUP(C906,customers!$A$1:A1905,customers!$C$1:C1905,,0) = 0,"", _xlfn.XLOOKUP(C906,customers!$A$1:A1905,customers!$C$1:C1905,,0))</f>
        <v>dsopperp4@eventbrite.com</v>
      </c>
      <c r="I906" s="2" t="str">
        <f>_xlfn.XLOOKUP(C906,customers!$A$1:$A$1001,customers!$G$1:$G$1001,,0)</f>
        <v>United States</v>
      </c>
      <c r="J906" s="2" t="str">
        <f>_xlfn.XLOOKUP(Orders[[#This Row],[Customer ID]],customers!$A$1:$A$1001,customers!$F$1:$F$1001,,0)</f>
        <v>Saint Paul</v>
      </c>
      <c r="K906" t="str">
        <f>INDEX(products!$A$1:$G$49,MATCH(orders!$D906,products!$A$1:$A$49,0),MATCH(orders!K$1,products!$A$1:$G$1,0))</f>
        <v>Ara</v>
      </c>
      <c r="L906" t="str">
        <f>INDEX(products!$A$1:$G$49,MATCH(orders!$D906,products!$A$1:$A$49,0),MATCH(orders!L$1,products!$A$1:$G$1,0))</f>
        <v>L</v>
      </c>
      <c r="M906" s="14">
        <f>INDEX(products!$A$1:$G$49,MATCH(orders!$D906,products!$A$1:$A$49,0),MATCH(orders!M$1,products!$A$1:$G$1,0))</f>
        <v>2.5</v>
      </c>
      <c r="N906" s="4">
        <f>INDEX(products!$A$1:$G$49,MATCH(orders!$D906,products!$A$1:$A$49,0),MATCH(orders!N$1,products!$A$1:$G$1,0))</f>
        <v>29.784999999999997</v>
      </c>
      <c r="O906" s="13">
        <f t="shared" si="70"/>
        <v>148.92499999999998</v>
      </c>
      <c r="P906" s="13">
        <f>_xlfn.XLOOKUP(Orders[[#This Row],[Product ID]],products!$A$1:$A$49,products!$G$1:$G$49,,0)</f>
        <v>2.6806499999999995</v>
      </c>
      <c r="Q906" s="13">
        <f t="shared" si="71"/>
        <v>13.403249999999998</v>
      </c>
      <c r="R906" t="str">
        <f t="shared" si="73"/>
        <v>Arabica</v>
      </c>
      <c r="S906" t="str">
        <f t="shared" si="74"/>
        <v>Light</v>
      </c>
      <c r="T906" t="str">
        <f>_xlfn.XLOOKUP(Orders[[#This Row],[Customer ID]],customers!$A$1:$A$1001,customers!$I$1:$I$1001,,0)</f>
        <v>No</v>
      </c>
    </row>
    <row r="907" spans="1:20" x14ac:dyDescent="0.35">
      <c r="A907" s="2" t="s">
        <v>5609</v>
      </c>
      <c r="B907" s="3">
        <v>43560</v>
      </c>
      <c r="C907" s="2" t="s">
        <v>5610</v>
      </c>
      <c r="D907" t="s">
        <v>6157</v>
      </c>
      <c r="E907" t="str">
        <f t="shared" si="72"/>
        <v>Arabica-Medium-0.5</v>
      </c>
      <c r="F907" s="2">
        <v>6</v>
      </c>
      <c r="G907" s="2" t="str" cm="1">
        <f t="array" ref="G907">_xlfn.XLOOKUP(C907, customers!$A$1:A1906,customers!$B$1:B1906,,0)</f>
        <v>Darcy Lochran</v>
      </c>
      <c r="H907" s="2" t="str" cm="1">
        <f t="array" ref="H907">IF(_xlfn.XLOOKUP(C907,customers!$A$1:A1906,customers!$C$1:C1906,,0) = 0,"", _xlfn.XLOOKUP(C907,customers!$A$1:A1906,customers!$C$1:C1906,,0))</f>
        <v/>
      </c>
      <c r="I907" s="2" t="str">
        <f>_xlfn.XLOOKUP(C907,customers!$A$1:$A$1001,customers!$G$1:$G$1001,,0)</f>
        <v>United States</v>
      </c>
      <c r="J907" s="2" t="str">
        <f>_xlfn.XLOOKUP(Orders[[#This Row],[Customer ID]],customers!$A$1:$A$1001,customers!$F$1:$F$1001,,0)</f>
        <v>El Paso</v>
      </c>
      <c r="K907" t="str">
        <f>INDEX(products!$A$1:$G$49,MATCH(orders!$D907,products!$A$1:$A$49,0),MATCH(orders!K$1,products!$A$1:$G$1,0))</f>
        <v>Ara</v>
      </c>
      <c r="L907" t="str">
        <f>INDEX(products!$A$1:$G$49,MATCH(orders!$D907,products!$A$1:$A$49,0),MATCH(orders!L$1,products!$A$1:$G$1,0))</f>
        <v>M</v>
      </c>
      <c r="M907" s="14">
        <f>INDEX(products!$A$1:$G$49,MATCH(orders!$D907,products!$A$1:$A$49,0),MATCH(orders!M$1,products!$A$1:$G$1,0))</f>
        <v>0.5</v>
      </c>
      <c r="N907" s="4">
        <f>INDEX(products!$A$1:$G$49,MATCH(orders!$D907,products!$A$1:$A$49,0),MATCH(orders!N$1,products!$A$1:$G$1,0))</f>
        <v>6.75</v>
      </c>
      <c r="O907" s="13">
        <f t="shared" si="70"/>
        <v>40.5</v>
      </c>
      <c r="P907" s="13">
        <f>_xlfn.XLOOKUP(Orders[[#This Row],[Product ID]],products!$A$1:$A$49,products!$G$1:$G$49,,0)</f>
        <v>0.60749999999999993</v>
      </c>
      <c r="Q907" s="13">
        <f t="shared" si="71"/>
        <v>3.6449999999999996</v>
      </c>
      <c r="R907" t="str">
        <f t="shared" si="73"/>
        <v>Arabica</v>
      </c>
      <c r="S907" t="str">
        <f t="shared" si="74"/>
        <v>Medium</v>
      </c>
      <c r="T907" t="str">
        <f>_xlfn.XLOOKUP(Orders[[#This Row],[Customer ID]],customers!$A$1:$A$1001,customers!$I$1:$I$1001,,0)</f>
        <v>Yes</v>
      </c>
    </row>
    <row r="908" spans="1:20" x14ac:dyDescent="0.35">
      <c r="A908" s="2" t="s">
        <v>5614</v>
      </c>
      <c r="B908" s="3">
        <v>44588</v>
      </c>
      <c r="C908" s="2" t="s">
        <v>5615</v>
      </c>
      <c r="D908" t="s">
        <v>6157</v>
      </c>
      <c r="E908" t="str">
        <f t="shared" si="72"/>
        <v>Arabica-Medium-0.5</v>
      </c>
      <c r="F908" s="2">
        <v>4</v>
      </c>
      <c r="G908" s="2" t="str" cm="1">
        <f t="array" ref="G908">_xlfn.XLOOKUP(C908, customers!$A$1:A1907,customers!$B$1:B1907,,0)</f>
        <v>Lauritz Ledgley</v>
      </c>
      <c r="H908" s="2" t="str" cm="1">
        <f t="array" ref="H908">IF(_xlfn.XLOOKUP(C908,customers!$A$1:A1907,customers!$C$1:C1907,,0) = 0,"", _xlfn.XLOOKUP(C908,customers!$A$1:A1907,customers!$C$1:C1907,,0))</f>
        <v>lledgleyp6@de.vu</v>
      </c>
      <c r="I908" s="2" t="str">
        <f>_xlfn.XLOOKUP(C908,customers!$A$1:$A$1001,customers!$G$1:$G$1001,,0)</f>
        <v>United States</v>
      </c>
      <c r="J908" s="2" t="str">
        <f>_xlfn.XLOOKUP(Orders[[#This Row],[Customer ID]],customers!$A$1:$A$1001,customers!$F$1:$F$1001,,0)</f>
        <v>Des Moines</v>
      </c>
      <c r="K908" t="str">
        <f>INDEX(products!$A$1:$G$49,MATCH(orders!$D908,products!$A$1:$A$49,0),MATCH(orders!K$1,products!$A$1:$G$1,0))</f>
        <v>Ara</v>
      </c>
      <c r="L908" t="str">
        <f>INDEX(products!$A$1:$G$49,MATCH(orders!$D908,products!$A$1:$A$49,0),MATCH(orders!L$1,products!$A$1:$G$1,0))</f>
        <v>M</v>
      </c>
      <c r="M908" s="14">
        <f>INDEX(products!$A$1:$G$49,MATCH(orders!$D908,products!$A$1:$A$49,0),MATCH(orders!M$1,products!$A$1:$G$1,0))</f>
        <v>0.5</v>
      </c>
      <c r="N908" s="4">
        <f>INDEX(products!$A$1:$G$49,MATCH(orders!$D908,products!$A$1:$A$49,0),MATCH(orders!N$1,products!$A$1:$G$1,0))</f>
        <v>6.75</v>
      </c>
      <c r="O908" s="13">
        <f t="shared" si="70"/>
        <v>27</v>
      </c>
      <c r="P908" s="13">
        <f>_xlfn.XLOOKUP(Orders[[#This Row],[Product ID]],products!$A$1:$A$49,products!$G$1:$G$49,,0)</f>
        <v>0.60749999999999993</v>
      </c>
      <c r="Q908" s="13">
        <f t="shared" si="71"/>
        <v>2.4299999999999997</v>
      </c>
      <c r="R908" t="str">
        <f t="shared" si="73"/>
        <v>Arabica</v>
      </c>
      <c r="S908" t="str">
        <f t="shared" si="74"/>
        <v>Medium</v>
      </c>
      <c r="T908" t="str">
        <f>_xlfn.XLOOKUP(Orders[[#This Row],[Customer ID]],customers!$A$1:$A$1001,customers!$I$1:$I$1001,,0)</f>
        <v>Yes</v>
      </c>
    </row>
    <row r="909" spans="1:20" x14ac:dyDescent="0.35">
      <c r="A909" s="2" t="s">
        <v>5620</v>
      </c>
      <c r="B909" s="3">
        <v>44449</v>
      </c>
      <c r="C909" s="2" t="s">
        <v>5621</v>
      </c>
      <c r="D909" t="s">
        <v>6143</v>
      </c>
      <c r="E909" t="str">
        <f t="shared" si="72"/>
        <v>Liberica-Dark-1</v>
      </c>
      <c r="F909" s="2">
        <v>3</v>
      </c>
      <c r="G909" s="2" t="str" cm="1">
        <f t="array" ref="G909">_xlfn.XLOOKUP(C909, customers!$A$1:A1908,customers!$B$1:B1908,,0)</f>
        <v>Tawnya Menary</v>
      </c>
      <c r="H909" s="2" t="str" cm="1">
        <f t="array" ref="H909">IF(_xlfn.XLOOKUP(C909,customers!$A$1:A1908,customers!$C$1:C1908,,0) = 0,"", _xlfn.XLOOKUP(C909,customers!$A$1:A1908,customers!$C$1:C1908,,0))</f>
        <v>tmenaryp7@phoca.cz</v>
      </c>
      <c r="I909" s="2" t="str">
        <f>_xlfn.XLOOKUP(C909,customers!$A$1:$A$1001,customers!$G$1:$G$1001,,0)</f>
        <v>United States</v>
      </c>
      <c r="J909" s="2" t="str">
        <f>_xlfn.XLOOKUP(Orders[[#This Row],[Customer ID]],customers!$A$1:$A$1001,customers!$F$1:$F$1001,,0)</f>
        <v>Portland</v>
      </c>
      <c r="K909" t="str">
        <f>INDEX(products!$A$1:$G$49,MATCH(orders!$D909,products!$A$1:$A$49,0),MATCH(orders!K$1,products!$A$1:$G$1,0))</f>
        <v>Lib</v>
      </c>
      <c r="L909" t="str">
        <f>INDEX(products!$A$1:$G$49,MATCH(orders!$D909,products!$A$1:$A$49,0),MATCH(orders!L$1,products!$A$1:$G$1,0))</f>
        <v>D</v>
      </c>
      <c r="M909" s="14">
        <f>INDEX(products!$A$1:$G$49,MATCH(orders!$D909,products!$A$1:$A$49,0),MATCH(orders!M$1,products!$A$1:$G$1,0))</f>
        <v>1</v>
      </c>
      <c r="N909" s="4">
        <f>INDEX(products!$A$1:$G$49,MATCH(orders!$D909,products!$A$1:$A$49,0),MATCH(orders!N$1,products!$A$1:$G$1,0))</f>
        <v>12.95</v>
      </c>
      <c r="O909" s="13">
        <f t="shared" si="70"/>
        <v>38.849999999999994</v>
      </c>
      <c r="P909" s="13">
        <f>_xlfn.XLOOKUP(Orders[[#This Row],[Product ID]],products!$A$1:$A$49,products!$G$1:$G$49,,0)</f>
        <v>1.6835</v>
      </c>
      <c r="Q909" s="13">
        <f t="shared" si="71"/>
        <v>5.0504999999999995</v>
      </c>
      <c r="R909" t="str">
        <f t="shared" si="73"/>
        <v>Liberica</v>
      </c>
      <c r="S909" t="str">
        <f t="shared" si="74"/>
        <v>Dark</v>
      </c>
      <c r="T909" t="str">
        <f>_xlfn.XLOOKUP(Orders[[#This Row],[Customer ID]],customers!$A$1:$A$1001,customers!$I$1:$I$1001,,0)</f>
        <v>No</v>
      </c>
    </row>
    <row r="910" spans="1:20" x14ac:dyDescent="0.35">
      <c r="A910" s="2" t="s">
        <v>5626</v>
      </c>
      <c r="B910" s="3">
        <v>43836</v>
      </c>
      <c r="C910" s="2" t="s">
        <v>5627</v>
      </c>
      <c r="D910" t="s">
        <v>6179</v>
      </c>
      <c r="E910" t="str">
        <f t="shared" si="72"/>
        <v>Robusta-Light-1</v>
      </c>
      <c r="F910" s="2">
        <v>5</v>
      </c>
      <c r="G910" s="2" t="str" cm="1">
        <f t="array" ref="G910">_xlfn.XLOOKUP(C910, customers!$A$1:A1909,customers!$B$1:B1909,,0)</f>
        <v>Gustaf Ciccotti</v>
      </c>
      <c r="H910" s="2" t="str" cm="1">
        <f t="array" ref="H910">IF(_xlfn.XLOOKUP(C910,customers!$A$1:A1909,customers!$C$1:C1909,,0) = 0,"", _xlfn.XLOOKUP(C910,customers!$A$1:A1909,customers!$C$1:C1909,,0))</f>
        <v>gciccottip8@so-net.ne.jp</v>
      </c>
      <c r="I910" s="2" t="str">
        <f>_xlfn.XLOOKUP(C910,customers!$A$1:$A$1001,customers!$G$1:$G$1001,,0)</f>
        <v>United States</v>
      </c>
      <c r="J910" s="2" t="str">
        <f>_xlfn.XLOOKUP(Orders[[#This Row],[Customer ID]],customers!$A$1:$A$1001,customers!$F$1:$F$1001,,0)</f>
        <v>Houston</v>
      </c>
      <c r="K910" t="str">
        <f>INDEX(products!$A$1:$G$49,MATCH(orders!$D910,products!$A$1:$A$49,0),MATCH(orders!K$1,products!$A$1:$G$1,0))</f>
        <v>Rob</v>
      </c>
      <c r="L910" t="str">
        <f>INDEX(products!$A$1:$G$49,MATCH(orders!$D910,products!$A$1:$A$49,0),MATCH(orders!L$1,products!$A$1:$G$1,0))</f>
        <v>L</v>
      </c>
      <c r="M910" s="14">
        <f>INDEX(products!$A$1:$G$49,MATCH(orders!$D910,products!$A$1:$A$49,0),MATCH(orders!M$1,products!$A$1:$G$1,0))</f>
        <v>1</v>
      </c>
      <c r="N910" s="4">
        <f>INDEX(products!$A$1:$G$49,MATCH(orders!$D910,products!$A$1:$A$49,0),MATCH(orders!N$1,products!$A$1:$G$1,0))</f>
        <v>11.95</v>
      </c>
      <c r="O910" s="13">
        <f t="shared" si="70"/>
        <v>59.75</v>
      </c>
      <c r="P910" s="13">
        <f>_xlfn.XLOOKUP(Orders[[#This Row],[Product ID]],products!$A$1:$A$49,products!$G$1:$G$49,,0)</f>
        <v>0.71699999999999997</v>
      </c>
      <c r="Q910" s="13">
        <f t="shared" si="71"/>
        <v>3.585</v>
      </c>
      <c r="R910" t="str">
        <f t="shared" si="73"/>
        <v>Robusta</v>
      </c>
      <c r="S910" t="str">
        <f t="shared" si="74"/>
        <v>Light</v>
      </c>
      <c r="T910" t="str">
        <f>_xlfn.XLOOKUP(Orders[[#This Row],[Customer ID]],customers!$A$1:$A$1001,customers!$I$1:$I$1001,,0)</f>
        <v>No</v>
      </c>
    </row>
    <row r="911" spans="1:20" x14ac:dyDescent="0.35">
      <c r="A911" s="2" t="s">
        <v>5632</v>
      </c>
      <c r="B911" s="3">
        <v>44635</v>
      </c>
      <c r="C911" s="2" t="s">
        <v>5633</v>
      </c>
      <c r="D911" t="s">
        <v>6178</v>
      </c>
      <c r="E911" t="str">
        <f t="shared" si="72"/>
        <v>Robusta-Light-0.2</v>
      </c>
      <c r="F911" s="2">
        <v>3</v>
      </c>
      <c r="G911" s="2" t="str" cm="1">
        <f t="array" ref="G911">_xlfn.XLOOKUP(C911, customers!$A$1:A1910,customers!$B$1:B1910,,0)</f>
        <v>Bobbe Renner</v>
      </c>
      <c r="H911" s="2" t="str" cm="1">
        <f t="array" ref="H911">IF(_xlfn.XLOOKUP(C911,customers!$A$1:A1910,customers!$C$1:C1910,,0) = 0,"", _xlfn.XLOOKUP(C911,customers!$A$1:A1910,customers!$C$1:C1910,,0))</f>
        <v/>
      </c>
      <c r="I911" s="2" t="str">
        <f>_xlfn.XLOOKUP(C911,customers!$A$1:$A$1001,customers!$G$1:$G$1001,,0)</f>
        <v>United States</v>
      </c>
      <c r="J911" s="2" t="str">
        <f>_xlfn.XLOOKUP(Orders[[#This Row],[Customer ID]],customers!$A$1:$A$1001,customers!$F$1:$F$1001,,0)</f>
        <v>Durham</v>
      </c>
      <c r="K911" t="str">
        <f>INDEX(products!$A$1:$G$49,MATCH(orders!$D911,products!$A$1:$A$49,0),MATCH(orders!K$1,products!$A$1:$G$1,0))</f>
        <v>Rob</v>
      </c>
      <c r="L911" t="str">
        <f>INDEX(products!$A$1:$G$49,MATCH(orders!$D911,products!$A$1:$A$49,0),MATCH(orders!L$1,products!$A$1:$G$1,0))</f>
        <v>L</v>
      </c>
      <c r="M911" s="14">
        <f>INDEX(products!$A$1:$G$49,MATCH(orders!$D911,products!$A$1:$A$49,0),MATCH(orders!M$1,products!$A$1:$G$1,0))</f>
        <v>0.2</v>
      </c>
      <c r="N911" s="4">
        <f>INDEX(products!$A$1:$G$49,MATCH(orders!$D911,products!$A$1:$A$49,0),MATCH(orders!N$1,products!$A$1:$G$1,0))</f>
        <v>3.5849999999999995</v>
      </c>
      <c r="O911" s="13">
        <f t="shared" si="70"/>
        <v>10.754999999999999</v>
      </c>
      <c r="P911" s="13">
        <f>_xlfn.XLOOKUP(Orders[[#This Row],[Product ID]],products!$A$1:$A$49,products!$G$1:$G$49,,0)</f>
        <v>0.21509999999999996</v>
      </c>
      <c r="Q911" s="13">
        <f t="shared" si="71"/>
        <v>0.64529999999999987</v>
      </c>
      <c r="R911" t="str">
        <f t="shared" si="73"/>
        <v>Robusta</v>
      </c>
      <c r="S911" t="str">
        <f t="shared" si="74"/>
        <v>Light</v>
      </c>
      <c r="T911" t="str">
        <f>_xlfn.XLOOKUP(Orders[[#This Row],[Customer ID]],customers!$A$1:$A$1001,customers!$I$1:$I$1001,,0)</f>
        <v>No</v>
      </c>
    </row>
    <row r="912" spans="1:20" x14ac:dyDescent="0.35">
      <c r="A912" s="2" t="s">
        <v>5637</v>
      </c>
      <c r="B912" s="3">
        <v>44447</v>
      </c>
      <c r="C912" s="2" t="s">
        <v>5638</v>
      </c>
      <c r="D912" t="s">
        <v>6168</v>
      </c>
      <c r="E912" t="str">
        <f t="shared" si="72"/>
        <v>Arabica-Dark-2.5</v>
      </c>
      <c r="F912" s="2">
        <v>4</v>
      </c>
      <c r="G912" s="2" t="str" cm="1">
        <f t="array" ref="G912">_xlfn.XLOOKUP(C912, customers!$A$1:A1911,customers!$B$1:B1911,,0)</f>
        <v>Wilton Jallin</v>
      </c>
      <c r="H912" s="2" t="str" cm="1">
        <f t="array" ref="H912">IF(_xlfn.XLOOKUP(C912,customers!$A$1:A1911,customers!$C$1:C1911,,0) = 0,"", _xlfn.XLOOKUP(C912,customers!$A$1:A1911,customers!$C$1:C1911,,0))</f>
        <v>wjallinpa@pcworld.com</v>
      </c>
      <c r="I912" s="2" t="str">
        <f>_xlfn.XLOOKUP(C912,customers!$A$1:$A$1001,customers!$G$1:$G$1001,,0)</f>
        <v>United States</v>
      </c>
      <c r="J912" s="2" t="str">
        <f>_xlfn.XLOOKUP(Orders[[#This Row],[Customer ID]],customers!$A$1:$A$1001,customers!$F$1:$F$1001,,0)</f>
        <v>Boston</v>
      </c>
      <c r="K912" t="str">
        <f>INDEX(products!$A$1:$G$49,MATCH(orders!$D912,products!$A$1:$A$49,0),MATCH(orders!K$1,products!$A$1:$G$1,0))</f>
        <v>Ara</v>
      </c>
      <c r="L912" t="str">
        <f>INDEX(products!$A$1:$G$49,MATCH(orders!$D912,products!$A$1:$A$49,0),MATCH(orders!L$1,products!$A$1:$G$1,0))</f>
        <v>D</v>
      </c>
      <c r="M912" s="14">
        <f>INDEX(products!$A$1:$G$49,MATCH(orders!$D912,products!$A$1:$A$49,0),MATCH(orders!M$1,products!$A$1:$G$1,0))</f>
        <v>2.5</v>
      </c>
      <c r="N912" s="4">
        <f>INDEX(products!$A$1:$G$49,MATCH(orders!$D912,products!$A$1:$A$49,0),MATCH(orders!N$1,products!$A$1:$G$1,0))</f>
        <v>22.884999999999998</v>
      </c>
      <c r="O912" s="13">
        <f t="shared" si="70"/>
        <v>91.539999999999992</v>
      </c>
      <c r="P912" s="13">
        <f>_xlfn.XLOOKUP(Orders[[#This Row],[Product ID]],products!$A$1:$A$49,products!$G$1:$G$49,,0)</f>
        <v>2.0596499999999995</v>
      </c>
      <c r="Q912" s="13">
        <f t="shared" si="71"/>
        <v>8.2385999999999981</v>
      </c>
      <c r="R912" t="str">
        <f t="shared" si="73"/>
        <v>Arabica</v>
      </c>
      <c r="S912" t="str">
        <f t="shared" si="74"/>
        <v>Dark</v>
      </c>
      <c r="T912" t="str">
        <f>_xlfn.XLOOKUP(Orders[[#This Row],[Customer ID]],customers!$A$1:$A$1001,customers!$I$1:$I$1001,,0)</f>
        <v>No</v>
      </c>
    </row>
    <row r="913" spans="1:20" x14ac:dyDescent="0.35">
      <c r="A913" s="2" t="s">
        <v>5643</v>
      </c>
      <c r="B913" s="3">
        <v>44511</v>
      </c>
      <c r="C913" s="2" t="s">
        <v>5644</v>
      </c>
      <c r="D913" t="s">
        <v>6155</v>
      </c>
      <c r="E913" t="str">
        <f t="shared" si="72"/>
        <v>Arabica-Medium-1</v>
      </c>
      <c r="F913" s="2">
        <v>4</v>
      </c>
      <c r="G913" s="2" t="str" cm="1">
        <f t="array" ref="G913">_xlfn.XLOOKUP(C913, customers!$A$1:A1912,customers!$B$1:B1912,,0)</f>
        <v>Mindy Bogey</v>
      </c>
      <c r="H913" s="2" t="str" cm="1">
        <f t="array" ref="H913">IF(_xlfn.XLOOKUP(C913,customers!$A$1:A1912,customers!$C$1:C1912,,0) = 0,"", _xlfn.XLOOKUP(C913,customers!$A$1:A1912,customers!$C$1:C1912,,0))</f>
        <v>mbogeypb@thetimes.co.uk</v>
      </c>
      <c r="I913" s="2" t="str">
        <f>_xlfn.XLOOKUP(C913,customers!$A$1:$A$1001,customers!$G$1:$G$1001,,0)</f>
        <v>United States</v>
      </c>
      <c r="J913" s="2" t="str">
        <f>_xlfn.XLOOKUP(Orders[[#This Row],[Customer ID]],customers!$A$1:$A$1001,customers!$F$1:$F$1001,,0)</f>
        <v>Washington</v>
      </c>
      <c r="K913" t="str">
        <f>INDEX(products!$A$1:$G$49,MATCH(orders!$D913,products!$A$1:$A$49,0),MATCH(orders!K$1,products!$A$1:$G$1,0))</f>
        <v>Ara</v>
      </c>
      <c r="L913" t="str">
        <f>INDEX(products!$A$1:$G$49,MATCH(orders!$D913,products!$A$1:$A$49,0),MATCH(orders!L$1,products!$A$1:$G$1,0))</f>
        <v>M</v>
      </c>
      <c r="M913" s="14">
        <f>INDEX(products!$A$1:$G$49,MATCH(orders!$D913,products!$A$1:$A$49,0),MATCH(orders!M$1,products!$A$1:$G$1,0))</f>
        <v>1</v>
      </c>
      <c r="N913" s="4">
        <f>INDEX(products!$A$1:$G$49,MATCH(orders!$D913,products!$A$1:$A$49,0),MATCH(orders!N$1,products!$A$1:$G$1,0))</f>
        <v>11.25</v>
      </c>
      <c r="O913" s="13">
        <f t="shared" si="70"/>
        <v>45</v>
      </c>
      <c r="P913" s="13">
        <f>_xlfn.XLOOKUP(Orders[[#This Row],[Product ID]],products!$A$1:$A$49,products!$G$1:$G$49,,0)</f>
        <v>1.0125</v>
      </c>
      <c r="Q913" s="13">
        <f t="shared" si="71"/>
        <v>4.05</v>
      </c>
      <c r="R913" t="str">
        <f t="shared" si="73"/>
        <v>Arabica</v>
      </c>
      <c r="S913" t="str">
        <f t="shared" si="74"/>
        <v>Medium</v>
      </c>
      <c r="T913" t="str">
        <f>_xlfn.XLOOKUP(Orders[[#This Row],[Customer ID]],customers!$A$1:$A$1001,customers!$I$1:$I$1001,,0)</f>
        <v>Yes</v>
      </c>
    </row>
    <row r="914" spans="1:20" x14ac:dyDescent="0.35">
      <c r="A914" s="2" t="s">
        <v>5649</v>
      </c>
      <c r="B914" s="3">
        <v>43726</v>
      </c>
      <c r="C914" s="2" t="s">
        <v>5650</v>
      </c>
      <c r="D914" t="s">
        <v>6151</v>
      </c>
      <c r="E914" t="str">
        <f t="shared" si="72"/>
        <v>Robusta-Medium-2.5</v>
      </c>
      <c r="F914" s="2">
        <v>6</v>
      </c>
      <c r="G914" s="2" t="str" cm="1">
        <f t="array" ref="G914">_xlfn.XLOOKUP(C914, customers!$A$1:A1913,customers!$B$1:B1913,,0)</f>
        <v>Paulie Fonzone</v>
      </c>
      <c r="H914" s="2" t="str" cm="1">
        <f t="array" ref="H914">IF(_xlfn.XLOOKUP(C914,customers!$A$1:A1913,customers!$C$1:C1913,,0) = 0,"", _xlfn.XLOOKUP(C914,customers!$A$1:A1913,customers!$C$1:C1913,,0))</f>
        <v/>
      </c>
      <c r="I914" s="2" t="str">
        <f>_xlfn.XLOOKUP(C914,customers!$A$1:$A$1001,customers!$G$1:$G$1001,,0)</f>
        <v>United States</v>
      </c>
      <c r="J914" s="2" t="str">
        <f>_xlfn.XLOOKUP(Orders[[#This Row],[Customer ID]],customers!$A$1:$A$1001,customers!$F$1:$F$1001,,0)</f>
        <v>Albany</v>
      </c>
      <c r="K914" t="str">
        <f>INDEX(products!$A$1:$G$49,MATCH(orders!$D914,products!$A$1:$A$49,0),MATCH(orders!K$1,products!$A$1:$G$1,0))</f>
        <v>Rob</v>
      </c>
      <c r="L914" t="str">
        <f>INDEX(products!$A$1:$G$49,MATCH(orders!$D914,products!$A$1:$A$49,0),MATCH(orders!L$1,products!$A$1:$G$1,0))</f>
        <v>M</v>
      </c>
      <c r="M914" s="14">
        <f>INDEX(products!$A$1:$G$49,MATCH(orders!$D914,products!$A$1:$A$49,0),MATCH(orders!M$1,products!$A$1:$G$1,0))</f>
        <v>2.5</v>
      </c>
      <c r="N914" s="4">
        <f>INDEX(products!$A$1:$G$49,MATCH(orders!$D914,products!$A$1:$A$49,0),MATCH(orders!N$1,products!$A$1:$G$1,0))</f>
        <v>22.884999999999998</v>
      </c>
      <c r="O914" s="13">
        <f t="shared" si="70"/>
        <v>137.31</v>
      </c>
      <c r="P914" s="13">
        <f>_xlfn.XLOOKUP(Orders[[#This Row],[Product ID]],products!$A$1:$A$49,products!$G$1:$G$49,,0)</f>
        <v>1.3730999999999998</v>
      </c>
      <c r="Q914" s="13">
        <f t="shared" si="71"/>
        <v>8.2385999999999981</v>
      </c>
      <c r="R914" t="str">
        <f t="shared" si="73"/>
        <v>Robusta</v>
      </c>
      <c r="S914" t="str">
        <f t="shared" si="74"/>
        <v>Medium</v>
      </c>
      <c r="T914" t="str">
        <f>_xlfn.XLOOKUP(Orders[[#This Row],[Customer ID]],customers!$A$1:$A$1001,customers!$I$1:$I$1001,,0)</f>
        <v>Yes</v>
      </c>
    </row>
    <row r="915" spans="1:20" x14ac:dyDescent="0.35">
      <c r="A915" s="2" t="s">
        <v>5654</v>
      </c>
      <c r="B915" s="3">
        <v>44406</v>
      </c>
      <c r="C915" s="2" t="s">
        <v>5655</v>
      </c>
      <c r="D915" t="s">
        <v>6157</v>
      </c>
      <c r="E915" t="str">
        <f t="shared" si="72"/>
        <v>Arabica-Medium-0.5</v>
      </c>
      <c r="F915" s="2">
        <v>1</v>
      </c>
      <c r="G915" s="2" t="str" cm="1">
        <f t="array" ref="G915">_xlfn.XLOOKUP(C915, customers!$A$1:A1914,customers!$B$1:B1914,,0)</f>
        <v>Merrile Cobbledick</v>
      </c>
      <c r="H915" s="2" t="str" cm="1">
        <f t="array" ref="H915">IF(_xlfn.XLOOKUP(C915,customers!$A$1:A1914,customers!$C$1:C1914,,0) = 0,"", _xlfn.XLOOKUP(C915,customers!$A$1:A1914,customers!$C$1:C1914,,0))</f>
        <v>mcobbledickpd@ucsd.edu</v>
      </c>
      <c r="I915" s="2" t="str">
        <f>_xlfn.XLOOKUP(C915,customers!$A$1:$A$1001,customers!$G$1:$G$1001,,0)</f>
        <v>United States</v>
      </c>
      <c r="J915" s="2" t="str">
        <f>_xlfn.XLOOKUP(Orders[[#This Row],[Customer ID]],customers!$A$1:$A$1001,customers!$F$1:$F$1001,,0)</f>
        <v>Tucson</v>
      </c>
      <c r="K915" t="str">
        <f>INDEX(products!$A$1:$G$49,MATCH(orders!$D915,products!$A$1:$A$49,0),MATCH(orders!K$1,products!$A$1:$G$1,0))</f>
        <v>Ara</v>
      </c>
      <c r="L915" t="str">
        <f>INDEX(products!$A$1:$G$49,MATCH(orders!$D915,products!$A$1:$A$49,0),MATCH(orders!L$1,products!$A$1:$G$1,0))</f>
        <v>M</v>
      </c>
      <c r="M915" s="14">
        <f>INDEX(products!$A$1:$G$49,MATCH(orders!$D915,products!$A$1:$A$49,0),MATCH(orders!M$1,products!$A$1:$G$1,0))</f>
        <v>0.5</v>
      </c>
      <c r="N915" s="4">
        <f>INDEX(products!$A$1:$G$49,MATCH(orders!$D915,products!$A$1:$A$49,0),MATCH(orders!N$1,products!$A$1:$G$1,0))</f>
        <v>6.75</v>
      </c>
      <c r="O915" s="13">
        <f t="shared" si="70"/>
        <v>6.75</v>
      </c>
      <c r="P915" s="13">
        <f>_xlfn.XLOOKUP(Orders[[#This Row],[Product ID]],products!$A$1:$A$49,products!$G$1:$G$49,,0)</f>
        <v>0.60749999999999993</v>
      </c>
      <c r="Q915" s="13">
        <f t="shared" si="71"/>
        <v>0.60749999999999993</v>
      </c>
      <c r="R915" t="str">
        <f t="shared" si="73"/>
        <v>Arabica</v>
      </c>
      <c r="S915" t="str">
        <f t="shared" si="74"/>
        <v>Medium</v>
      </c>
      <c r="T915" t="str">
        <f>_xlfn.XLOOKUP(Orders[[#This Row],[Customer ID]],customers!$A$1:$A$1001,customers!$I$1:$I$1001,,0)</f>
        <v>No</v>
      </c>
    </row>
    <row r="916" spans="1:20" x14ac:dyDescent="0.35">
      <c r="A916" s="2" t="s">
        <v>5660</v>
      </c>
      <c r="B916" s="3">
        <v>44640</v>
      </c>
      <c r="C916" s="2" t="s">
        <v>5661</v>
      </c>
      <c r="D916" t="s">
        <v>6155</v>
      </c>
      <c r="E916" t="str">
        <f t="shared" si="72"/>
        <v>Arabica-Medium-1</v>
      </c>
      <c r="F916" s="2">
        <v>4</v>
      </c>
      <c r="G916" s="2" t="str" cm="1">
        <f t="array" ref="G916">_xlfn.XLOOKUP(C916, customers!$A$1:A1915,customers!$B$1:B1915,,0)</f>
        <v>Antonius Lewry</v>
      </c>
      <c r="H916" s="2" t="str" cm="1">
        <f t="array" ref="H916">IF(_xlfn.XLOOKUP(C916,customers!$A$1:A1915,customers!$C$1:C1915,,0) = 0,"", _xlfn.XLOOKUP(C916,customers!$A$1:A1915,customers!$C$1:C1915,,0))</f>
        <v>alewrype@whitehouse.gov</v>
      </c>
      <c r="I916" s="2" t="str">
        <f>_xlfn.XLOOKUP(C916,customers!$A$1:$A$1001,customers!$G$1:$G$1001,,0)</f>
        <v>United States</v>
      </c>
      <c r="J916" s="2" t="str">
        <f>_xlfn.XLOOKUP(Orders[[#This Row],[Customer ID]],customers!$A$1:$A$1001,customers!$F$1:$F$1001,,0)</f>
        <v>Montgomery</v>
      </c>
      <c r="K916" t="str">
        <f>INDEX(products!$A$1:$G$49,MATCH(orders!$D916,products!$A$1:$A$49,0),MATCH(orders!K$1,products!$A$1:$G$1,0))</f>
        <v>Ara</v>
      </c>
      <c r="L916" t="str">
        <f>INDEX(products!$A$1:$G$49,MATCH(orders!$D916,products!$A$1:$A$49,0),MATCH(orders!L$1,products!$A$1:$G$1,0))</f>
        <v>M</v>
      </c>
      <c r="M916" s="14">
        <f>INDEX(products!$A$1:$G$49,MATCH(orders!$D916,products!$A$1:$A$49,0),MATCH(orders!M$1,products!$A$1:$G$1,0))</f>
        <v>1</v>
      </c>
      <c r="N916" s="4">
        <f>INDEX(products!$A$1:$G$49,MATCH(orders!$D916,products!$A$1:$A$49,0),MATCH(orders!N$1,products!$A$1:$G$1,0))</f>
        <v>11.25</v>
      </c>
      <c r="O916" s="13">
        <f t="shared" si="70"/>
        <v>45</v>
      </c>
      <c r="P916" s="13">
        <f>_xlfn.XLOOKUP(Orders[[#This Row],[Product ID]],products!$A$1:$A$49,products!$G$1:$G$49,,0)</f>
        <v>1.0125</v>
      </c>
      <c r="Q916" s="13">
        <f t="shared" si="71"/>
        <v>4.05</v>
      </c>
      <c r="R916" t="str">
        <f t="shared" si="73"/>
        <v>Arabica</v>
      </c>
      <c r="S916" t="str">
        <f t="shared" si="74"/>
        <v>Medium</v>
      </c>
      <c r="T916" t="str">
        <f>_xlfn.XLOOKUP(Orders[[#This Row],[Customer ID]],customers!$A$1:$A$1001,customers!$I$1:$I$1001,,0)</f>
        <v>No</v>
      </c>
    </row>
    <row r="917" spans="1:20" x14ac:dyDescent="0.35">
      <c r="A917" s="2" t="s">
        <v>5666</v>
      </c>
      <c r="B917" s="3">
        <v>43955</v>
      </c>
      <c r="C917" s="2" t="s">
        <v>5667</v>
      </c>
      <c r="D917" t="s">
        <v>6185</v>
      </c>
      <c r="E917" t="str">
        <f t="shared" si="72"/>
        <v>Excelsa-Dark-2.5</v>
      </c>
      <c r="F917" s="2">
        <v>3</v>
      </c>
      <c r="G917" s="2" t="str" cm="1">
        <f t="array" ref="G917">_xlfn.XLOOKUP(C917, customers!$A$1:A1916,customers!$B$1:B1916,,0)</f>
        <v>Isis Hessel</v>
      </c>
      <c r="H917" s="2" t="str" cm="1">
        <f t="array" ref="H917">IF(_xlfn.XLOOKUP(C917,customers!$A$1:A1916,customers!$C$1:C1916,,0) = 0,"", _xlfn.XLOOKUP(C917,customers!$A$1:A1916,customers!$C$1:C1916,,0))</f>
        <v>ihesselpf@ox.ac.uk</v>
      </c>
      <c r="I917" s="2" t="str">
        <f>_xlfn.XLOOKUP(C917,customers!$A$1:$A$1001,customers!$G$1:$G$1001,,0)</f>
        <v>United States</v>
      </c>
      <c r="J917" s="2" t="str">
        <f>_xlfn.XLOOKUP(Orders[[#This Row],[Customer ID]],customers!$A$1:$A$1001,customers!$F$1:$F$1001,,0)</f>
        <v>Fairbanks</v>
      </c>
      <c r="K917" t="str">
        <f>INDEX(products!$A$1:$G$49,MATCH(orders!$D917,products!$A$1:$A$49,0),MATCH(orders!K$1,products!$A$1:$G$1,0))</f>
        <v>Exc</v>
      </c>
      <c r="L917" t="str">
        <f>INDEX(products!$A$1:$G$49,MATCH(orders!$D917,products!$A$1:$A$49,0),MATCH(orders!L$1,products!$A$1:$G$1,0))</f>
        <v>D</v>
      </c>
      <c r="M917" s="14">
        <f>INDEX(products!$A$1:$G$49,MATCH(orders!$D917,products!$A$1:$A$49,0),MATCH(orders!M$1,products!$A$1:$G$1,0))</f>
        <v>2.5</v>
      </c>
      <c r="N917" s="4">
        <f>INDEX(products!$A$1:$G$49,MATCH(orders!$D917,products!$A$1:$A$49,0),MATCH(orders!N$1,products!$A$1:$G$1,0))</f>
        <v>27.945</v>
      </c>
      <c r="O917" s="13">
        <f t="shared" si="70"/>
        <v>83.835000000000008</v>
      </c>
      <c r="P917" s="13">
        <f>_xlfn.XLOOKUP(Orders[[#This Row],[Product ID]],products!$A$1:$A$49,products!$G$1:$G$49,,0)</f>
        <v>3.07395</v>
      </c>
      <c r="Q917" s="13">
        <f t="shared" si="71"/>
        <v>9.2218499999999999</v>
      </c>
      <c r="R917" t="str">
        <f t="shared" si="73"/>
        <v>Execelsa</v>
      </c>
      <c r="S917" t="str">
        <f t="shared" si="74"/>
        <v>Dark</v>
      </c>
      <c r="T917" t="str">
        <f>_xlfn.XLOOKUP(Orders[[#This Row],[Customer ID]],customers!$A$1:$A$1001,customers!$I$1:$I$1001,,0)</f>
        <v>Yes</v>
      </c>
    </row>
    <row r="918" spans="1:20" x14ac:dyDescent="0.35">
      <c r="A918" s="2" t="s">
        <v>5672</v>
      </c>
      <c r="B918" s="3">
        <v>44291</v>
      </c>
      <c r="C918" s="2" t="s">
        <v>5673</v>
      </c>
      <c r="D918" t="s">
        <v>6153</v>
      </c>
      <c r="E918" t="str">
        <f t="shared" si="72"/>
        <v>Excelsa-Dark-0.2</v>
      </c>
      <c r="F918" s="2">
        <v>1</v>
      </c>
      <c r="G918" s="2" t="str" cm="1">
        <f t="array" ref="G918">_xlfn.XLOOKUP(C918, customers!$A$1:A1917,customers!$B$1:B1917,,0)</f>
        <v>Harland Trematick</v>
      </c>
      <c r="H918" s="2" t="str" cm="1">
        <f t="array" ref="H918">IF(_xlfn.XLOOKUP(C918,customers!$A$1:A1917,customers!$C$1:C1917,,0) = 0,"", _xlfn.XLOOKUP(C918,customers!$A$1:A1917,customers!$C$1:C1917,,0))</f>
        <v/>
      </c>
      <c r="I918" s="2" t="str">
        <f>_xlfn.XLOOKUP(C918,customers!$A$1:$A$1001,customers!$G$1:$G$1001,,0)</f>
        <v>Ireland</v>
      </c>
      <c r="J918" s="2" t="str">
        <f>_xlfn.XLOOKUP(Orders[[#This Row],[Customer ID]],customers!$A$1:$A$1001,customers!$F$1:$F$1001,,0)</f>
        <v>Monasterevin</v>
      </c>
      <c r="K918" t="str">
        <f>INDEX(products!$A$1:$G$49,MATCH(orders!$D918,products!$A$1:$A$49,0),MATCH(orders!K$1,products!$A$1:$G$1,0))</f>
        <v>Exc</v>
      </c>
      <c r="L918" t="str">
        <f>INDEX(products!$A$1:$G$49,MATCH(orders!$D918,products!$A$1:$A$49,0),MATCH(orders!L$1,products!$A$1:$G$1,0))</f>
        <v>D</v>
      </c>
      <c r="M918" s="14">
        <f>INDEX(products!$A$1:$G$49,MATCH(orders!$D918,products!$A$1:$A$49,0),MATCH(orders!M$1,products!$A$1:$G$1,0))</f>
        <v>0.2</v>
      </c>
      <c r="N918" s="4">
        <f>INDEX(products!$A$1:$G$49,MATCH(orders!$D918,products!$A$1:$A$49,0),MATCH(orders!N$1,products!$A$1:$G$1,0))</f>
        <v>3.645</v>
      </c>
      <c r="O918" s="13">
        <f t="shared" si="70"/>
        <v>3.645</v>
      </c>
      <c r="P918" s="13">
        <f>_xlfn.XLOOKUP(Orders[[#This Row],[Product ID]],products!$A$1:$A$49,products!$G$1:$G$49,,0)</f>
        <v>0.40095000000000003</v>
      </c>
      <c r="Q918" s="13">
        <f t="shared" si="71"/>
        <v>0.40095000000000003</v>
      </c>
      <c r="R918" t="str">
        <f t="shared" si="73"/>
        <v>Execelsa</v>
      </c>
      <c r="S918" t="str">
        <f t="shared" si="74"/>
        <v>Dark</v>
      </c>
      <c r="T918" t="str">
        <f>_xlfn.XLOOKUP(Orders[[#This Row],[Customer ID]],customers!$A$1:$A$1001,customers!$I$1:$I$1001,,0)</f>
        <v>Yes</v>
      </c>
    </row>
    <row r="919" spans="1:20" x14ac:dyDescent="0.35">
      <c r="A919" s="2" t="s">
        <v>5676</v>
      </c>
      <c r="B919" s="3">
        <v>44573</v>
      </c>
      <c r="C919" s="2" t="s">
        <v>5677</v>
      </c>
      <c r="D919" t="s">
        <v>6157</v>
      </c>
      <c r="E919" t="str">
        <f t="shared" si="72"/>
        <v>Arabica-Medium-0.5</v>
      </c>
      <c r="F919" s="2">
        <v>1</v>
      </c>
      <c r="G919" s="2" t="str" cm="1">
        <f t="array" ref="G919">_xlfn.XLOOKUP(C919, customers!$A$1:A1918,customers!$B$1:B1918,,0)</f>
        <v>Chloris Sorrell</v>
      </c>
      <c r="H919" s="2" t="str" cm="1">
        <f t="array" ref="H919">IF(_xlfn.XLOOKUP(C919,customers!$A$1:A1918,customers!$C$1:C1918,,0) = 0,"", _xlfn.XLOOKUP(C919,customers!$A$1:A1918,customers!$C$1:C1918,,0))</f>
        <v>csorrellph@amazon.com</v>
      </c>
      <c r="I919" s="2" t="str">
        <f>_xlfn.XLOOKUP(C919,customers!$A$1:$A$1001,customers!$G$1:$G$1001,,0)</f>
        <v>United Kingdom</v>
      </c>
      <c r="J919" s="2" t="str">
        <f>_xlfn.XLOOKUP(Orders[[#This Row],[Customer ID]],customers!$A$1:$A$1001,customers!$F$1:$F$1001,,0)</f>
        <v>Norton</v>
      </c>
      <c r="K919" t="str">
        <f>INDEX(products!$A$1:$G$49,MATCH(orders!$D919,products!$A$1:$A$49,0),MATCH(orders!K$1,products!$A$1:$G$1,0))</f>
        <v>Ara</v>
      </c>
      <c r="L919" t="str">
        <f>INDEX(products!$A$1:$G$49,MATCH(orders!$D919,products!$A$1:$A$49,0),MATCH(orders!L$1,products!$A$1:$G$1,0))</f>
        <v>M</v>
      </c>
      <c r="M919" s="14">
        <f>INDEX(products!$A$1:$G$49,MATCH(orders!$D919,products!$A$1:$A$49,0),MATCH(orders!M$1,products!$A$1:$G$1,0))</f>
        <v>0.5</v>
      </c>
      <c r="N919" s="4">
        <f>INDEX(products!$A$1:$G$49,MATCH(orders!$D919,products!$A$1:$A$49,0),MATCH(orders!N$1,products!$A$1:$G$1,0))</f>
        <v>6.75</v>
      </c>
      <c r="O919" s="13">
        <f t="shared" si="70"/>
        <v>6.75</v>
      </c>
      <c r="P919" s="13">
        <f>_xlfn.XLOOKUP(Orders[[#This Row],[Product ID]],products!$A$1:$A$49,products!$G$1:$G$49,,0)</f>
        <v>0.60749999999999993</v>
      </c>
      <c r="Q919" s="13">
        <f t="shared" si="71"/>
        <v>0.60749999999999993</v>
      </c>
      <c r="R919" t="str">
        <f t="shared" si="73"/>
        <v>Arabica</v>
      </c>
      <c r="S919" t="str">
        <f t="shared" si="74"/>
        <v>Medium</v>
      </c>
      <c r="T919" t="str">
        <f>_xlfn.XLOOKUP(Orders[[#This Row],[Customer ID]],customers!$A$1:$A$1001,customers!$I$1:$I$1001,,0)</f>
        <v>No</v>
      </c>
    </row>
    <row r="920" spans="1:20" x14ac:dyDescent="0.35">
      <c r="A920" s="2" t="s">
        <v>5676</v>
      </c>
      <c r="B920" s="3">
        <v>44573</v>
      </c>
      <c r="C920" s="2" t="s">
        <v>5677</v>
      </c>
      <c r="D920" t="s">
        <v>6144</v>
      </c>
      <c r="E920" t="str">
        <f t="shared" si="72"/>
        <v>Excelsa-Dark-0.5</v>
      </c>
      <c r="F920" s="2">
        <v>3</v>
      </c>
      <c r="G920" s="2" t="str" cm="1">
        <f t="array" ref="G920">_xlfn.XLOOKUP(C920, customers!$A$1:A1919,customers!$B$1:B1919,,0)</f>
        <v>Chloris Sorrell</v>
      </c>
      <c r="H920" s="2" t="str" cm="1">
        <f t="array" ref="H920">IF(_xlfn.XLOOKUP(C920,customers!$A$1:A1919,customers!$C$1:C1919,,0) = 0,"", _xlfn.XLOOKUP(C920,customers!$A$1:A1919,customers!$C$1:C1919,,0))</f>
        <v>csorrellph@amazon.com</v>
      </c>
      <c r="I920" s="2" t="str">
        <f>_xlfn.XLOOKUP(C920,customers!$A$1:$A$1001,customers!$G$1:$G$1001,,0)</f>
        <v>United Kingdom</v>
      </c>
      <c r="J920" s="2" t="str">
        <f>_xlfn.XLOOKUP(Orders[[#This Row],[Customer ID]],customers!$A$1:$A$1001,customers!$F$1:$F$1001,,0)</f>
        <v>Norton</v>
      </c>
      <c r="K920" t="str">
        <f>INDEX(products!$A$1:$G$49,MATCH(orders!$D920,products!$A$1:$A$49,0),MATCH(orders!K$1,products!$A$1:$G$1,0))</f>
        <v>Exc</v>
      </c>
      <c r="L920" t="str">
        <f>INDEX(products!$A$1:$G$49,MATCH(orders!$D920,products!$A$1:$A$49,0),MATCH(orders!L$1,products!$A$1:$G$1,0))</f>
        <v>D</v>
      </c>
      <c r="M920" s="14">
        <f>INDEX(products!$A$1:$G$49,MATCH(orders!$D920,products!$A$1:$A$49,0),MATCH(orders!M$1,products!$A$1:$G$1,0))</f>
        <v>0.5</v>
      </c>
      <c r="N920" s="4">
        <f>INDEX(products!$A$1:$G$49,MATCH(orders!$D920,products!$A$1:$A$49,0),MATCH(orders!N$1,products!$A$1:$G$1,0))</f>
        <v>7.29</v>
      </c>
      <c r="O920" s="13">
        <f t="shared" si="70"/>
        <v>21.87</v>
      </c>
      <c r="P920" s="13">
        <f>_xlfn.XLOOKUP(Orders[[#This Row],[Product ID]],products!$A$1:$A$49,products!$G$1:$G$49,,0)</f>
        <v>0.80190000000000006</v>
      </c>
      <c r="Q920" s="13">
        <f t="shared" si="71"/>
        <v>2.4057000000000004</v>
      </c>
      <c r="R920" t="str">
        <f t="shared" si="73"/>
        <v>Execelsa</v>
      </c>
      <c r="S920" t="str">
        <f t="shared" si="74"/>
        <v>Dark</v>
      </c>
      <c r="T920" t="str">
        <f>_xlfn.XLOOKUP(Orders[[#This Row],[Customer ID]],customers!$A$1:$A$1001,customers!$I$1:$I$1001,,0)</f>
        <v>No</v>
      </c>
    </row>
    <row r="921" spans="1:20" x14ac:dyDescent="0.35">
      <c r="A921" s="2" t="s">
        <v>5687</v>
      </c>
      <c r="B921" s="3">
        <v>44181</v>
      </c>
      <c r="C921" s="2" t="s">
        <v>5688</v>
      </c>
      <c r="D921" t="s">
        <v>6163</v>
      </c>
      <c r="E921" t="str">
        <f t="shared" si="72"/>
        <v>Robusta-Dark-0.2</v>
      </c>
      <c r="F921" s="2">
        <v>5</v>
      </c>
      <c r="G921" s="2" t="str" cm="1">
        <f t="array" ref="G921">_xlfn.XLOOKUP(C921, customers!$A$1:A1920,customers!$B$1:B1920,,0)</f>
        <v>Quintina Heavyside</v>
      </c>
      <c r="H921" s="2" t="str" cm="1">
        <f t="array" ref="H921">IF(_xlfn.XLOOKUP(C921,customers!$A$1:A1920,customers!$C$1:C1920,,0) = 0,"", _xlfn.XLOOKUP(C921,customers!$A$1:A1920,customers!$C$1:C1920,,0))</f>
        <v>qheavysidepj@unc.edu</v>
      </c>
      <c r="I921" s="2" t="str">
        <f>_xlfn.XLOOKUP(C921,customers!$A$1:$A$1001,customers!$G$1:$G$1001,,0)</f>
        <v>United States</v>
      </c>
      <c r="J921" s="2" t="str">
        <f>_xlfn.XLOOKUP(Orders[[#This Row],[Customer ID]],customers!$A$1:$A$1001,customers!$F$1:$F$1001,,0)</f>
        <v>Lexington</v>
      </c>
      <c r="K921" t="str">
        <f>INDEX(products!$A$1:$G$49,MATCH(orders!$D921,products!$A$1:$A$49,0),MATCH(orders!K$1,products!$A$1:$G$1,0))</f>
        <v>Rob</v>
      </c>
      <c r="L921" t="str">
        <f>INDEX(products!$A$1:$G$49,MATCH(orders!$D921,products!$A$1:$A$49,0),MATCH(orders!L$1,products!$A$1:$G$1,0))</f>
        <v>D</v>
      </c>
      <c r="M921" s="14">
        <f>INDEX(products!$A$1:$G$49,MATCH(orders!$D921,products!$A$1:$A$49,0),MATCH(orders!M$1,products!$A$1:$G$1,0))</f>
        <v>0.2</v>
      </c>
      <c r="N921" s="4">
        <f>INDEX(products!$A$1:$G$49,MATCH(orders!$D921,products!$A$1:$A$49,0),MATCH(orders!N$1,products!$A$1:$G$1,0))</f>
        <v>2.6849999999999996</v>
      </c>
      <c r="O921" s="13">
        <f t="shared" si="70"/>
        <v>13.424999999999997</v>
      </c>
      <c r="P921" s="13">
        <f>_xlfn.XLOOKUP(Orders[[#This Row],[Product ID]],products!$A$1:$A$49,products!$G$1:$G$49,,0)</f>
        <v>0.16109999999999997</v>
      </c>
      <c r="Q921" s="13">
        <f t="shared" si="71"/>
        <v>0.80549999999999988</v>
      </c>
      <c r="R921" t="str">
        <f t="shared" si="73"/>
        <v>Robusta</v>
      </c>
      <c r="S921" t="str">
        <f t="shared" si="74"/>
        <v>Dark</v>
      </c>
      <c r="T921" t="str">
        <f>_xlfn.XLOOKUP(Orders[[#This Row],[Customer ID]],customers!$A$1:$A$1001,customers!$I$1:$I$1001,,0)</f>
        <v>Yes</v>
      </c>
    </row>
    <row r="922" spans="1:20" x14ac:dyDescent="0.35">
      <c r="A922" s="2" t="s">
        <v>5693</v>
      </c>
      <c r="B922" s="3">
        <v>44711</v>
      </c>
      <c r="C922" s="2" t="s">
        <v>5694</v>
      </c>
      <c r="D922" t="s">
        <v>6149</v>
      </c>
      <c r="E922" t="str">
        <f t="shared" si="72"/>
        <v>Robusta-Dark-2.5</v>
      </c>
      <c r="F922" s="2">
        <v>6</v>
      </c>
      <c r="G922" s="2" t="str" cm="1">
        <f t="array" ref="G922">_xlfn.XLOOKUP(C922, customers!$A$1:A1921,customers!$B$1:B1921,,0)</f>
        <v>Hadley Reuven</v>
      </c>
      <c r="H922" s="2" t="str" cm="1">
        <f t="array" ref="H922">IF(_xlfn.XLOOKUP(C922,customers!$A$1:A1921,customers!$C$1:C1921,,0) = 0,"", _xlfn.XLOOKUP(C922,customers!$A$1:A1921,customers!$C$1:C1921,,0))</f>
        <v>hreuvenpk@whitehouse.gov</v>
      </c>
      <c r="I922" s="2" t="str">
        <f>_xlfn.XLOOKUP(C922,customers!$A$1:$A$1001,customers!$G$1:$G$1001,,0)</f>
        <v>United States</v>
      </c>
      <c r="J922" s="2" t="str">
        <f>_xlfn.XLOOKUP(Orders[[#This Row],[Customer ID]],customers!$A$1:$A$1001,customers!$F$1:$F$1001,,0)</f>
        <v>Grand Rapids</v>
      </c>
      <c r="K922" t="str">
        <f>INDEX(products!$A$1:$G$49,MATCH(orders!$D922,products!$A$1:$A$49,0),MATCH(orders!K$1,products!$A$1:$G$1,0))</f>
        <v>Rob</v>
      </c>
      <c r="L922" t="str">
        <f>INDEX(products!$A$1:$G$49,MATCH(orders!$D922,products!$A$1:$A$49,0),MATCH(orders!L$1,products!$A$1:$G$1,0))</f>
        <v>D</v>
      </c>
      <c r="M922" s="14">
        <f>INDEX(products!$A$1:$G$49,MATCH(orders!$D922,products!$A$1:$A$49,0),MATCH(orders!M$1,products!$A$1:$G$1,0))</f>
        <v>2.5</v>
      </c>
      <c r="N922" s="4">
        <f>INDEX(products!$A$1:$G$49,MATCH(orders!$D922,products!$A$1:$A$49,0),MATCH(orders!N$1,products!$A$1:$G$1,0))</f>
        <v>20.584999999999997</v>
      </c>
      <c r="O922" s="13">
        <f t="shared" si="70"/>
        <v>123.50999999999999</v>
      </c>
      <c r="P922" s="13">
        <f>_xlfn.XLOOKUP(Orders[[#This Row],[Product ID]],products!$A$1:$A$49,products!$G$1:$G$49,,0)</f>
        <v>1.2350999999999999</v>
      </c>
      <c r="Q922" s="13">
        <f t="shared" si="71"/>
        <v>7.4105999999999987</v>
      </c>
      <c r="R922" t="str">
        <f t="shared" si="73"/>
        <v>Robusta</v>
      </c>
      <c r="S922" t="str">
        <f t="shared" si="74"/>
        <v>Dark</v>
      </c>
      <c r="T922" t="str">
        <f>_xlfn.XLOOKUP(Orders[[#This Row],[Customer ID]],customers!$A$1:$A$1001,customers!$I$1:$I$1001,,0)</f>
        <v>No</v>
      </c>
    </row>
    <row r="923" spans="1:20" x14ac:dyDescent="0.35">
      <c r="A923" s="2" t="s">
        <v>5699</v>
      </c>
      <c r="B923" s="3">
        <v>44509</v>
      </c>
      <c r="C923" s="2" t="s">
        <v>5700</v>
      </c>
      <c r="D923" t="s">
        <v>6150</v>
      </c>
      <c r="E923" t="str">
        <f t="shared" si="72"/>
        <v>Liberica-Dark-0.2</v>
      </c>
      <c r="F923" s="2">
        <v>2</v>
      </c>
      <c r="G923" s="2" t="str" cm="1">
        <f t="array" ref="G923">_xlfn.XLOOKUP(C923, customers!$A$1:A1922,customers!$B$1:B1922,,0)</f>
        <v>Mitch Attwool</v>
      </c>
      <c r="H923" s="2" t="str" cm="1">
        <f t="array" ref="H923">IF(_xlfn.XLOOKUP(C923,customers!$A$1:A1922,customers!$C$1:C1922,,0) = 0,"", _xlfn.XLOOKUP(C923,customers!$A$1:A1922,customers!$C$1:C1922,,0))</f>
        <v>mattwoolpl@nba.com</v>
      </c>
      <c r="I923" s="2" t="str">
        <f>_xlfn.XLOOKUP(C923,customers!$A$1:$A$1001,customers!$G$1:$G$1001,,0)</f>
        <v>United States</v>
      </c>
      <c r="J923" s="2" t="str">
        <f>_xlfn.XLOOKUP(Orders[[#This Row],[Customer ID]],customers!$A$1:$A$1001,customers!$F$1:$F$1001,,0)</f>
        <v>Des Moines</v>
      </c>
      <c r="K923" t="str">
        <f>INDEX(products!$A$1:$G$49,MATCH(orders!$D923,products!$A$1:$A$49,0),MATCH(orders!K$1,products!$A$1:$G$1,0))</f>
        <v>Lib</v>
      </c>
      <c r="L923" t="str">
        <f>INDEX(products!$A$1:$G$49,MATCH(orders!$D923,products!$A$1:$A$49,0),MATCH(orders!L$1,products!$A$1:$G$1,0))</f>
        <v>D</v>
      </c>
      <c r="M923" s="14">
        <f>INDEX(products!$A$1:$G$49,MATCH(orders!$D923,products!$A$1:$A$49,0),MATCH(orders!M$1,products!$A$1:$G$1,0))</f>
        <v>0.2</v>
      </c>
      <c r="N923" s="4">
        <f>INDEX(products!$A$1:$G$49,MATCH(orders!$D923,products!$A$1:$A$49,0),MATCH(orders!N$1,products!$A$1:$G$1,0))</f>
        <v>3.8849999999999998</v>
      </c>
      <c r="O923" s="13">
        <f t="shared" si="70"/>
        <v>7.77</v>
      </c>
      <c r="P923" s="13">
        <f>_xlfn.XLOOKUP(Orders[[#This Row],[Product ID]],products!$A$1:$A$49,products!$G$1:$G$49,,0)</f>
        <v>0.50505</v>
      </c>
      <c r="Q923" s="13">
        <f t="shared" si="71"/>
        <v>1.0101</v>
      </c>
      <c r="R923" t="str">
        <f t="shared" si="73"/>
        <v>Liberica</v>
      </c>
      <c r="S923" t="str">
        <f t="shared" si="74"/>
        <v>Dark</v>
      </c>
      <c r="T923" t="str">
        <f>_xlfn.XLOOKUP(Orders[[#This Row],[Customer ID]],customers!$A$1:$A$1001,customers!$I$1:$I$1001,,0)</f>
        <v>No</v>
      </c>
    </row>
    <row r="924" spans="1:20" x14ac:dyDescent="0.35">
      <c r="A924" s="2" t="s">
        <v>5705</v>
      </c>
      <c r="B924" s="3">
        <v>44659</v>
      </c>
      <c r="C924" s="2" t="s">
        <v>5706</v>
      </c>
      <c r="D924" t="s">
        <v>6155</v>
      </c>
      <c r="E924" t="str">
        <f t="shared" si="72"/>
        <v>Arabica-Medium-1</v>
      </c>
      <c r="F924" s="2">
        <v>6</v>
      </c>
      <c r="G924" s="2" t="str" cm="1">
        <f t="array" ref="G924">_xlfn.XLOOKUP(C924, customers!$A$1:A1923,customers!$B$1:B1923,,0)</f>
        <v>Charin Maplethorp</v>
      </c>
      <c r="H924" s="2" t="str" cm="1">
        <f t="array" ref="H924">IF(_xlfn.XLOOKUP(C924,customers!$A$1:A1923,customers!$C$1:C1923,,0) = 0,"", _xlfn.XLOOKUP(C924,customers!$A$1:A1923,customers!$C$1:C1923,,0))</f>
        <v/>
      </c>
      <c r="I924" s="2" t="str">
        <f>_xlfn.XLOOKUP(C924,customers!$A$1:$A$1001,customers!$G$1:$G$1001,,0)</f>
        <v>United States</v>
      </c>
      <c r="J924" s="2" t="str">
        <f>_xlfn.XLOOKUP(Orders[[#This Row],[Customer ID]],customers!$A$1:$A$1001,customers!$F$1:$F$1001,,0)</f>
        <v>Wilmington</v>
      </c>
      <c r="K924" t="str">
        <f>INDEX(products!$A$1:$G$49,MATCH(orders!$D924,products!$A$1:$A$49,0),MATCH(orders!K$1,products!$A$1:$G$1,0))</f>
        <v>Ara</v>
      </c>
      <c r="L924" t="str">
        <f>INDEX(products!$A$1:$G$49,MATCH(orders!$D924,products!$A$1:$A$49,0),MATCH(orders!L$1,products!$A$1:$G$1,0))</f>
        <v>M</v>
      </c>
      <c r="M924" s="14">
        <f>INDEX(products!$A$1:$G$49,MATCH(orders!$D924,products!$A$1:$A$49,0),MATCH(orders!M$1,products!$A$1:$G$1,0))</f>
        <v>1</v>
      </c>
      <c r="N924" s="4">
        <f>INDEX(products!$A$1:$G$49,MATCH(orders!$D924,products!$A$1:$A$49,0),MATCH(orders!N$1,products!$A$1:$G$1,0))</f>
        <v>11.25</v>
      </c>
      <c r="O924" s="13">
        <f t="shared" si="70"/>
        <v>67.5</v>
      </c>
      <c r="P924" s="13">
        <f>_xlfn.XLOOKUP(Orders[[#This Row],[Product ID]],products!$A$1:$A$49,products!$G$1:$G$49,,0)</f>
        <v>1.0125</v>
      </c>
      <c r="Q924" s="13">
        <f t="shared" si="71"/>
        <v>6.0749999999999993</v>
      </c>
      <c r="R924" t="str">
        <f t="shared" si="73"/>
        <v>Arabica</v>
      </c>
      <c r="S924" t="str">
        <f t="shared" si="74"/>
        <v>Medium</v>
      </c>
      <c r="T924" t="str">
        <f>_xlfn.XLOOKUP(Orders[[#This Row],[Customer ID]],customers!$A$1:$A$1001,customers!$I$1:$I$1001,,0)</f>
        <v>Yes</v>
      </c>
    </row>
    <row r="925" spans="1:20" x14ac:dyDescent="0.35">
      <c r="A925" s="2" t="s">
        <v>5709</v>
      </c>
      <c r="B925" s="3">
        <v>43746</v>
      </c>
      <c r="C925" s="2" t="s">
        <v>5710</v>
      </c>
      <c r="D925" t="s">
        <v>6185</v>
      </c>
      <c r="E925" t="str">
        <f t="shared" si="72"/>
        <v>Excelsa-Dark-2.5</v>
      </c>
      <c r="F925" s="2">
        <v>1</v>
      </c>
      <c r="G925" s="2" t="str" cm="1">
        <f t="array" ref="G925">_xlfn.XLOOKUP(C925, customers!$A$1:A1924,customers!$B$1:B1924,,0)</f>
        <v>Goldie Wynes</v>
      </c>
      <c r="H925" s="2" t="str" cm="1">
        <f t="array" ref="H925">IF(_xlfn.XLOOKUP(C925,customers!$A$1:A1924,customers!$C$1:C1924,,0) = 0,"", _xlfn.XLOOKUP(C925,customers!$A$1:A1924,customers!$C$1:C1924,,0))</f>
        <v>gwynespn@dagondesign.com</v>
      </c>
      <c r="I925" s="2" t="str">
        <f>_xlfn.XLOOKUP(C925,customers!$A$1:$A$1001,customers!$G$1:$G$1001,,0)</f>
        <v>United States</v>
      </c>
      <c r="J925" s="2" t="str">
        <f>_xlfn.XLOOKUP(Orders[[#This Row],[Customer ID]],customers!$A$1:$A$1001,customers!$F$1:$F$1001,,0)</f>
        <v>Austin</v>
      </c>
      <c r="K925" t="str">
        <f>INDEX(products!$A$1:$G$49,MATCH(orders!$D925,products!$A$1:$A$49,0),MATCH(orders!K$1,products!$A$1:$G$1,0))</f>
        <v>Exc</v>
      </c>
      <c r="L925" t="str">
        <f>INDEX(products!$A$1:$G$49,MATCH(orders!$D925,products!$A$1:$A$49,0),MATCH(orders!L$1,products!$A$1:$G$1,0))</f>
        <v>D</v>
      </c>
      <c r="M925" s="14">
        <f>INDEX(products!$A$1:$G$49,MATCH(orders!$D925,products!$A$1:$A$49,0),MATCH(orders!M$1,products!$A$1:$G$1,0))</f>
        <v>2.5</v>
      </c>
      <c r="N925" s="4">
        <f>INDEX(products!$A$1:$G$49,MATCH(orders!$D925,products!$A$1:$A$49,0),MATCH(orders!N$1,products!$A$1:$G$1,0))</f>
        <v>27.945</v>
      </c>
      <c r="O925" s="13">
        <f t="shared" si="70"/>
        <v>27.945</v>
      </c>
      <c r="P925" s="13">
        <f>_xlfn.XLOOKUP(Orders[[#This Row],[Product ID]],products!$A$1:$A$49,products!$G$1:$G$49,,0)</f>
        <v>3.07395</v>
      </c>
      <c r="Q925" s="13">
        <f t="shared" si="71"/>
        <v>3.07395</v>
      </c>
      <c r="R925" t="str">
        <f t="shared" si="73"/>
        <v>Execelsa</v>
      </c>
      <c r="S925" t="str">
        <f t="shared" si="74"/>
        <v>Dark</v>
      </c>
      <c r="T925" t="str">
        <f>_xlfn.XLOOKUP(Orders[[#This Row],[Customer ID]],customers!$A$1:$A$1001,customers!$I$1:$I$1001,,0)</f>
        <v>No</v>
      </c>
    </row>
    <row r="926" spans="1:20" x14ac:dyDescent="0.35">
      <c r="A926" s="2" t="s">
        <v>5715</v>
      </c>
      <c r="B926" s="3">
        <v>44451</v>
      </c>
      <c r="C926" s="2" t="s">
        <v>5716</v>
      </c>
      <c r="D926" t="s">
        <v>6182</v>
      </c>
      <c r="E926" t="str">
        <f t="shared" si="72"/>
        <v>Arabica-Light-2.5</v>
      </c>
      <c r="F926" s="2">
        <v>3</v>
      </c>
      <c r="G926" s="2" t="str" cm="1">
        <f t="array" ref="G926">_xlfn.XLOOKUP(C926, customers!$A$1:A1925,customers!$B$1:B1925,,0)</f>
        <v>Celie MacCourt</v>
      </c>
      <c r="H926" s="2" t="str" cm="1">
        <f t="array" ref="H926">IF(_xlfn.XLOOKUP(C926,customers!$A$1:A1925,customers!$C$1:C1925,,0) = 0,"", _xlfn.XLOOKUP(C926,customers!$A$1:A1925,customers!$C$1:C1925,,0))</f>
        <v>cmaccourtpo@amazon.com</v>
      </c>
      <c r="I926" s="2" t="str">
        <f>_xlfn.XLOOKUP(C926,customers!$A$1:$A$1001,customers!$G$1:$G$1001,,0)</f>
        <v>United States</v>
      </c>
      <c r="J926" s="2" t="str">
        <f>_xlfn.XLOOKUP(Orders[[#This Row],[Customer ID]],customers!$A$1:$A$1001,customers!$F$1:$F$1001,,0)</f>
        <v>Orlando</v>
      </c>
      <c r="K926" t="str">
        <f>INDEX(products!$A$1:$G$49,MATCH(orders!$D926,products!$A$1:$A$49,0),MATCH(orders!K$1,products!$A$1:$G$1,0))</f>
        <v>Ara</v>
      </c>
      <c r="L926" t="str">
        <f>INDEX(products!$A$1:$G$49,MATCH(orders!$D926,products!$A$1:$A$49,0),MATCH(orders!L$1,products!$A$1:$G$1,0))</f>
        <v>L</v>
      </c>
      <c r="M926" s="14">
        <f>INDEX(products!$A$1:$G$49,MATCH(orders!$D926,products!$A$1:$A$49,0),MATCH(orders!M$1,products!$A$1:$G$1,0))</f>
        <v>2.5</v>
      </c>
      <c r="N926" s="4">
        <f>INDEX(products!$A$1:$G$49,MATCH(orders!$D926,products!$A$1:$A$49,0),MATCH(orders!N$1,products!$A$1:$G$1,0))</f>
        <v>29.784999999999997</v>
      </c>
      <c r="O926" s="13">
        <f t="shared" si="70"/>
        <v>89.35499999999999</v>
      </c>
      <c r="P926" s="13">
        <f>_xlfn.XLOOKUP(Orders[[#This Row],[Product ID]],products!$A$1:$A$49,products!$G$1:$G$49,,0)</f>
        <v>2.6806499999999995</v>
      </c>
      <c r="Q926" s="13">
        <f t="shared" si="71"/>
        <v>8.0419499999999982</v>
      </c>
      <c r="R926" t="str">
        <f t="shared" si="73"/>
        <v>Arabica</v>
      </c>
      <c r="S926" t="str">
        <f t="shared" si="74"/>
        <v>Light</v>
      </c>
      <c r="T926" t="str">
        <f>_xlfn.XLOOKUP(Orders[[#This Row],[Customer ID]],customers!$A$1:$A$1001,customers!$I$1:$I$1001,,0)</f>
        <v>No</v>
      </c>
    </row>
    <row r="927" spans="1:20" x14ac:dyDescent="0.35">
      <c r="A927" s="2" t="s">
        <v>5720</v>
      </c>
      <c r="B927" s="3">
        <v>44770</v>
      </c>
      <c r="C927" s="2" t="s">
        <v>5554</v>
      </c>
      <c r="D927" t="s">
        <v>6157</v>
      </c>
      <c r="E927" t="str">
        <f t="shared" si="72"/>
        <v>Arabica-Medium-0.5</v>
      </c>
      <c r="F927" s="2">
        <v>3</v>
      </c>
      <c r="G927" s="2" t="str" cm="1">
        <f t="array" ref="G927">_xlfn.XLOOKUP(C927, customers!$A$1:A1926,customers!$B$1:B1926,,0)</f>
        <v>Derick Snow</v>
      </c>
      <c r="H927" s="2" t="str" cm="1">
        <f t="array" ref="H927">IF(_xlfn.XLOOKUP(C927,customers!$A$1:A1926,customers!$C$1:C1926,,0) = 0,"", _xlfn.XLOOKUP(C927,customers!$A$1:A1926,customers!$C$1:C1926,,0))</f>
        <v/>
      </c>
      <c r="I927" s="2" t="str">
        <f>_xlfn.XLOOKUP(C927,customers!$A$1:$A$1001,customers!$G$1:$G$1001,,0)</f>
        <v>United States</v>
      </c>
      <c r="J927" s="2" t="str">
        <f>_xlfn.XLOOKUP(Orders[[#This Row],[Customer ID]],customers!$A$1:$A$1001,customers!$F$1:$F$1001,,0)</f>
        <v>New York City</v>
      </c>
      <c r="K927" t="str">
        <f>INDEX(products!$A$1:$G$49,MATCH(orders!$D927,products!$A$1:$A$49,0),MATCH(orders!K$1,products!$A$1:$G$1,0))</f>
        <v>Ara</v>
      </c>
      <c r="L927" t="str">
        <f>INDEX(products!$A$1:$G$49,MATCH(orders!$D927,products!$A$1:$A$49,0),MATCH(orders!L$1,products!$A$1:$G$1,0))</f>
        <v>M</v>
      </c>
      <c r="M927" s="14">
        <f>INDEX(products!$A$1:$G$49,MATCH(orders!$D927,products!$A$1:$A$49,0),MATCH(orders!M$1,products!$A$1:$G$1,0))</f>
        <v>0.5</v>
      </c>
      <c r="N927" s="4">
        <f>INDEX(products!$A$1:$G$49,MATCH(orders!$D927,products!$A$1:$A$49,0),MATCH(orders!N$1,products!$A$1:$G$1,0))</f>
        <v>6.75</v>
      </c>
      <c r="O927" s="13">
        <f t="shared" si="70"/>
        <v>20.25</v>
      </c>
      <c r="P927" s="13">
        <f>_xlfn.XLOOKUP(Orders[[#This Row],[Product ID]],products!$A$1:$A$49,products!$G$1:$G$49,,0)</f>
        <v>0.60749999999999993</v>
      </c>
      <c r="Q927" s="13">
        <f t="shared" si="71"/>
        <v>1.8224999999999998</v>
      </c>
      <c r="R927" t="str">
        <f t="shared" si="73"/>
        <v>Arabica</v>
      </c>
      <c r="S927" t="str">
        <f t="shared" si="74"/>
        <v>Medium</v>
      </c>
      <c r="T927" t="str">
        <f>_xlfn.XLOOKUP(Orders[[#This Row],[Customer ID]],customers!$A$1:$A$1001,customers!$I$1:$I$1001,,0)</f>
        <v>No</v>
      </c>
    </row>
    <row r="928" spans="1:20" x14ac:dyDescent="0.35">
      <c r="A928" s="2" t="s">
        <v>5725</v>
      </c>
      <c r="B928" s="3">
        <v>44012</v>
      </c>
      <c r="C928" s="2" t="s">
        <v>5726</v>
      </c>
      <c r="D928" t="s">
        <v>6157</v>
      </c>
      <c r="E928" t="str">
        <f t="shared" si="72"/>
        <v>Arabica-Medium-0.5</v>
      </c>
      <c r="F928" s="2">
        <v>5</v>
      </c>
      <c r="G928" s="2" t="str" cm="1">
        <f t="array" ref="G928">_xlfn.XLOOKUP(C928, customers!$A$1:A1927,customers!$B$1:B1927,,0)</f>
        <v>Evy Wilsone</v>
      </c>
      <c r="H928" s="2" t="str" cm="1">
        <f t="array" ref="H928">IF(_xlfn.XLOOKUP(C928,customers!$A$1:A1927,customers!$C$1:C1927,,0) = 0,"", _xlfn.XLOOKUP(C928,customers!$A$1:A1927,customers!$C$1:C1927,,0))</f>
        <v>ewilsonepq@eepurl.com</v>
      </c>
      <c r="I928" s="2" t="str">
        <f>_xlfn.XLOOKUP(C928,customers!$A$1:$A$1001,customers!$G$1:$G$1001,,0)</f>
        <v>United States</v>
      </c>
      <c r="J928" s="2" t="str">
        <f>_xlfn.XLOOKUP(Orders[[#This Row],[Customer ID]],customers!$A$1:$A$1001,customers!$F$1:$F$1001,,0)</f>
        <v>Washington</v>
      </c>
      <c r="K928" t="str">
        <f>INDEX(products!$A$1:$G$49,MATCH(orders!$D928,products!$A$1:$A$49,0),MATCH(orders!K$1,products!$A$1:$G$1,0))</f>
        <v>Ara</v>
      </c>
      <c r="L928" t="str">
        <f>INDEX(products!$A$1:$G$49,MATCH(orders!$D928,products!$A$1:$A$49,0),MATCH(orders!L$1,products!$A$1:$G$1,0))</f>
        <v>M</v>
      </c>
      <c r="M928" s="14">
        <f>INDEX(products!$A$1:$G$49,MATCH(orders!$D928,products!$A$1:$A$49,0),MATCH(orders!M$1,products!$A$1:$G$1,0))</f>
        <v>0.5</v>
      </c>
      <c r="N928" s="4">
        <f>INDEX(products!$A$1:$G$49,MATCH(orders!$D928,products!$A$1:$A$49,0),MATCH(orders!N$1,products!$A$1:$G$1,0))</f>
        <v>6.75</v>
      </c>
      <c r="O928" s="13">
        <f t="shared" si="70"/>
        <v>33.75</v>
      </c>
      <c r="P928" s="13">
        <f>_xlfn.XLOOKUP(Orders[[#This Row],[Product ID]],products!$A$1:$A$49,products!$G$1:$G$49,,0)</f>
        <v>0.60749999999999993</v>
      </c>
      <c r="Q928" s="13">
        <f t="shared" si="71"/>
        <v>3.0374999999999996</v>
      </c>
      <c r="R928" t="str">
        <f t="shared" si="73"/>
        <v>Arabica</v>
      </c>
      <c r="S928" t="str">
        <f t="shared" si="74"/>
        <v>Medium</v>
      </c>
      <c r="T928" t="str">
        <f>_xlfn.XLOOKUP(Orders[[#This Row],[Customer ID]],customers!$A$1:$A$1001,customers!$I$1:$I$1001,,0)</f>
        <v>Yes</v>
      </c>
    </row>
    <row r="929" spans="1:20" x14ac:dyDescent="0.35">
      <c r="A929" s="2" t="s">
        <v>5731</v>
      </c>
      <c r="B929" s="3">
        <v>43474</v>
      </c>
      <c r="C929" s="2" t="s">
        <v>5732</v>
      </c>
      <c r="D929" t="s">
        <v>6185</v>
      </c>
      <c r="E929" t="str">
        <f t="shared" si="72"/>
        <v>Excelsa-Dark-2.5</v>
      </c>
      <c r="F929" s="2">
        <v>4</v>
      </c>
      <c r="G929" s="2" t="str" cm="1">
        <f t="array" ref="G929">_xlfn.XLOOKUP(C929, customers!$A$1:A1928,customers!$B$1:B1928,,0)</f>
        <v>Dolores Duffie</v>
      </c>
      <c r="H929" s="2" t="str" cm="1">
        <f t="array" ref="H929">IF(_xlfn.XLOOKUP(C929,customers!$A$1:A1928,customers!$C$1:C1928,,0) = 0,"", _xlfn.XLOOKUP(C929,customers!$A$1:A1928,customers!$C$1:C1928,,0))</f>
        <v>dduffiepr@time.com</v>
      </c>
      <c r="I929" s="2" t="str">
        <f>_xlfn.XLOOKUP(C929,customers!$A$1:$A$1001,customers!$G$1:$G$1001,,0)</f>
        <v>United States</v>
      </c>
      <c r="J929" s="2" t="str">
        <f>_xlfn.XLOOKUP(Orders[[#This Row],[Customer ID]],customers!$A$1:$A$1001,customers!$F$1:$F$1001,,0)</f>
        <v>Portland</v>
      </c>
      <c r="K929" t="str">
        <f>INDEX(products!$A$1:$G$49,MATCH(orders!$D929,products!$A$1:$A$49,0),MATCH(orders!K$1,products!$A$1:$G$1,0))</f>
        <v>Exc</v>
      </c>
      <c r="L929" t="str">
        <f>INDEX(products!$A$1:$G$49,MATCH(orders!$D929,products!$A$1:$A$49,0),MATCH(orders!L$1,products!$A$1:$G$1,0))</f>
        <v>D</v>
      </c>
      <c r="M929" s="14">
        <f>INDEX(products!$A$1:$G$49,MATCH(orders!$D929,products!$A$1:$A$49,0),MATCH(orders!M$1,products!$A$1:$G$1,0))</f>
        <v>2.5</v>
      </c>
      <c r="N929" s="4">
        <f>INDEX(products!$A$1:$G$49,MATCH(orders!$D929,products!$A$1:$A$49,0),MATCH(orders!N$1,products!$A$1:$G$1,0))</f>
        <v>27.945</v>
      </c>
      <c r="O929" s="13">
        <f t="shared" si="70"/>
        <v>111.78</v>
      </c>
      <c r="P929" s="13">
        <f>_xlfn.XLOOKUP(Orders[[#This Row],[Product ID]],products!$A$1:$A$49,products!$G$1:$G$49,,0)</f>
        <v>3.07395</v>
      </c>
      <c r="Q929" s="13">
        <f t="shared" si="71"/>
        <v>12.2958</v>
      </c>
      <c r="R929" t="str">
        <f t="shared" si="73"/>
        <v>Execelsa</v>
      </c>
      <c r="S929" t="str">
        <f t="shared" si="74"/>
        <v>Dark</v>
      </c>
      <c r="T929" t="str">
        <f>_xlfn.XLOOKUP(Orders[[#This Row],[Customer ID]],customers!$A$1:$A$1001,customers!$I$1:$I$1001,,0)</f>
        <v>No</v>
      </c>
    </row>
    <row r="930" spans="1:20" x14ac:dyDescent="0.35">
      <c r="A930" s="2" t="s">
        <v>5737</v>
      </c>
      <c r="B930" s="3">
        <v>44754</v>
      </c>
      <c r="C930" s="2" t="s">
        <v>5738</v>
      </c>
      <c r="D930" t="s">
        <v>6166</v>
      </c>
      <c r="E930" t="str">
        <f t="shared" si="72"/>
        <v>Excelsa-Medium-2.5</v>
      </c>
      <c r="F930" s="2">
        <v>2</v>
      </c>
      <c r="G930" s="2" t="str" cm="1">
        <f t="array" ref="G930">_xlfn.XLOOKUP(C930, customers!$A$1:A1929,customers!$B$1:B1929,,0)</f>
        <v>Mathilda Matiasek</v>
      </c>
      <c r="H930" s="2" t="str" cm="1">
        <f t="array" ref="H930">IF(_xlfn.XLOOKUP(C930,customers!$A$1:A1929,customers!$C$1:C1929,,0) = 0,"", _xlfn.XLOOKUP(C930,customers!$A$1:A1929,customers!$C$1:C1929,,0))</f>
        <v>mmatiasekps@ucoz.ru</v>
      </c>
      <c r="I930" s="2" t="str">
        <f>_xlfn.XLOOKUP(C930,customers!$A$1:$A$1001,customers!$G$1:$G$1001,,0)</f>
        <v>United States</v>
      </c>
      <c r="J930" s="2" t="str">
        <f>_xlfn.XLOOKUP(Orders[[#This Row],[Customer ID]],customers!$A$1:$A$1001,customers!$F$1:$F$1001,,0)</f>
        <v>New York City</v>
      </c>
      <c r="K930" t="str">
        <f>INDEX(products!$A$1:$G$49,MATCH(orders!$D930,products!$A$1:$A$49,0),MATCH(orders!K$1,products!$A$1:$G$1,0))</f>
        <v>Exc</v>
      </c>
      <c r="L930" t="str">
        <f>INDEX(products!$A$1:$G$49,MATCH(orders!$D930,products!$A$1:$A$49,0),MATCH(orders!L$1,products!$A$1:$G$1,0))</f>
        <v>M</v>
      </c>
      <c r="M930" s="14">
        <f>INDEX(products!$A$1:$G$49,MATCH(orders!$D930,products!$A$1:$A$49,0),MATCH(orders!M$1,products!$A$1:$G$1,0))</f>
        <v>2.5</v>
      </c>
      <c r="N930" s="4">
        <f>INDEX(products!$A$1:$G$49,MATCH(orders!$D930,products!$A$1:$A$49,0),MATCH(orders!N$1,products!$A$1:$G$1,0))</f>
        <v>31.624999999999996</v>
      </c>
      <c r="O930" s="13">
        <f t="shared" si="70"/>
        <v>63.249999999999993</v>
      </c>
      <c r="P930" s="13">
        <f>_xlfn.XLOOKUP(Orders[[#This Row],[Product ID]],products!$A$1:$A$49,products!$G$1:$G$49,,0)</f>
        <v>3.4787499999999998</v>
      </c>
      <c r="Q930" s="13">
        <f t="shared" si="71"/>
        <v>6.9574999999999996</v>
      </c>
      <c r="R930" t="str">
        <f t="shared" si="73"/>
        <v>Execelsa</v>
      </c>
      <c r="S930" t="str">
        <f t="shared" si="74"/>
        <v>Medium</v>
      </c>
      <c r="T930" t="str">
        <f>_xlfn.XLOOKUP(Orders[[#This Row],[Customer ID]],customers!$A$1:$A$1001,customers!$I$1:$I$1001,,0)</f>
        <v>Yes</v>
      </c>
    </row>
    <row r="931" spans="1:20" x14ac:dyDescent="0.35">
      <c r="A931" s="2" t="s">
        <v>5742</v>
      </c>
      <c r="B931" s="3">
        <v>44165</v>
      </c>
      <c r="C931" s="2" t="s">
        <v>5743</v>
      </c>
      <c r="D931" t="s">
        <v>6184</v>
      </c>
      <c r="E931" t="str">
        <f t="shared" si="72"/>
        <v>Excelsa-Light-0.2</v>
      </c>
      <c r="F931" s="2">
        <v>2</v>
      </c>
      <c r="G931" s="2" t="str" cm="1">
        <f t="array" ref="G931">_xlfn.XLOOKUP(C931, customers!$A$1:A1930,customers!$B$1:B1930,,0)</f>
        <v>Jarred Camillo</v>
      </c>
      <c r="H931" s="2" t="str" cm="1">
        <f t="array" ref="H931">IF(_xlfn.XLOOKUP(C931,customers!$A$1:A1930,customers!$C$1:C1930,,0) = 0,"", _xlfn.XLOOKUP(C931,customers!$A$1:A1930,customers!$C$1:C1930,,0))</f>
        <v>jcamillopt@shinystat.com</v>
      </c>
      <c r="I931" s="2" t="str">
        <f>_xlfn.XLOOKUP(C931,customers!$A$1:$A$1001,customers!$G$1:$G$1001,,0)</f>
        <v>United States</v>
      </c>
      <c r="J931" s="2" t="str">
        <f>_xlfn.XLOOKUP(Orders[[#This Row],[Customer ID]],customers!$A$1:$A$1001,customers!$F$1:$F$1001,,0)</f>
        <v>Washington</v>
      </c>
      <c r="K931" t="str">
        <f>INDEX(products!$A$1:$G$49,MATCH(orders!$D931,products!$A$1:$A$49,0),MATCH(orders!K$1,products!$A$1:$G$1,0))</f>
        <v>Exc</v>
      </c>
      <c r="L931" t="str">
        <f>INDEX(products!$A$1:$G$49,MATCH(orders!$D931,products!$A$1:$A$49,0),MATCH(orders!L$1,products!$A$1:$G$1,0))</f>
        <v>L</v>
      </c>
      <c r="M931" s="14">
        <f>INDEX(products!$A$1:$G$49,MATCH(orders!$D931,products!$A$1:$A$49,0),MATCH(orders!M$1,products!$A$1:$G$1,0))</f>
        <v>0.2</v>
      </c>
      <c r="N931" s="4">
        <f>INDEX(products!$A$1:$G$49,MATCH(orders!$D931,products!$A$1:$A$49,0),MATCH(orders!N$1,products!$A$1:$G$1,0))</f>
        <v>4.4550000000000001</v>
      </c>
      <c r="O931" s="13">
        <f t="shared" si="70"/>
        <v>8.91</v>
      </c>
      <c r="P931" s="13">
        <f>_xlfn.XLOOKUP(Orders[[#This Row],[Product ID]],products!$A$1:$A$49,products!$G$1:$G$49,,0)</f>
        <v>0.49004999999999999</v>
      </c>
      <c r="Q931" s="13">
        <f t="shared" si="71"/>
        <v>0.98009999999999997</v>
      </c>
      <c r="R931" t="str">
        <f t="shared" si="73"/>
        <v>Execelsa</v>
      </c>
      <c r="S931" t="str">
        <f t="shared" si="74"/>
        <v>Light</v>
      </c>
      <c r="T931" t="str">
        <f>_xlfn.XLOOKUP(Orders[[#This Row],[Customer ID]],customers!$A$1:$A$1001,customers!$I$1:$I$1001,,0)</f>
        <v>Yes</v>
      </c>
    </row>
    <row r="932" spans="1:20" x14ac:dyDescent="0.35">
      <c r="A932" s="2" t="s">
        <v>5748</v>
      </c>
      <c r="B932" s="3">
        <v>43546</v>
      </c>
      <c r="C932" s="2" t="s">
        <v>5749</v>
      </c>
      <c r="D932" t="s">
        <v>6183</v>
      </c>
      <c r="E932" t="str">
        <f t="shared" si="72"/>
        <v>Excelsa-Dark-1</v>
      </c>
      <c r="F932" s="2">
        <v>1</v>
      </c>
      <c r="G932" s="2" t="str" cm="1">
        <f t="array" ref="G932">_xlfn.XLOOKUP(C932, customers!$A$1:A1931,customers!$B$1:B1931,,0)</f>
        <v>Kameko Philbrick</v>
      </c>
      <c r="H932" s="2" t="str" cm="1">
        <f t="array" ref="H932">IF(_xlfn.XLOOKUP(C932,customers!$A$1:A1931,customers!$C$1:C1931,,0) = 0,"", _xlfn.XLOOKUP(C932,customers!$A$1:A1931,customers!$C$1:C1931,,0))</f>
        <v>kphilbrickpu@cdc.gov</v>
      </c>
      <c r="I932" s="2" t="str">
        <f>_xlfn.XLOOKUP(C932,customers!$A$1:$A$1001,customers!$G$1:$G$1001,,0)</f>
        <v>United States</v>
      </c>
      <c r="J932" s="2" t="str">
        <f>_xlfn.XLOOKUP(Orders[[#This Row],[Customer ID]],customers!$A$1:$A$1001,customers!$F$1:$F$1001,,0)</f>
        <v>Washington</v>
      </c>
      <c r="K932" t="str">
        <f>INDEX(products!$A$1:$G$49,MATCH(orders!$D932,products!$A$1:$A$49,0),MATCH(orders!K$1,products!$A$1:$G$1,0))</f>
        <v>Exc</v>
      </c>
      <c r="L932" t="str">
        <f>INDEX(products!$A$1:$G$49,MATCH(orders!$D932,products!$A$1:$A$49,0),MATCH(orders!L$1,products!$A$1:$G$1,0))</f>
        <v>D</v>
      </c>
      <c r="M932" s="14">
        <f>INDEX(products!$A$1:$G$49,MATCH(orders!$D932,products!$A$1:$A$49,0),MATCH(orders!M$1,products!$A$1:$G$1,0))</f>
        <v>1</v>
      </c>
      <c r="N932" s="4">
        <f>INDEX(products!$A$1:$G$49,MATCH(orders!$D932,products!$A$1:$A$49,0),MATCH(orders!N$1,products!$A$1:$G$1,0))</f>
        <v>12.15</v>
      </c>
      <c r="O932" s="13">
        <f t="shared" si="70"/>
        <v>12.15</v>
      </c>
      <c r="P932" s="13">
        <f>_xlfn.XLOOKUP(Orders[[#This Row],[Product ID]],products!$A$1:$A$49,products!$G$1:$G$49,,0)</f>
        <v>1.3365</v>
      </c>
      <c r="Q932" s="13">
        <f t="shared" si="71"/>
        <v>1.3365</v>
      </c>
      <c r="R932" t="str">
        <f t="shared" si="73"/>
        <v>Execelsa</v>
      </c>
      <c r="S932" t="str">
        <f t="shared" si="74"/>
        <v>Dark</v>
      </c>
      <c r="T932" t="str">
        <f>_xlfn.XLOOKUP(Orders[[#This Row],[Customer ID]],customers!$A$1:$A$1001,customers!$I$1:$I$1001,,0)</f>
        <v>Yes</v>
      </c>
    </row>
    <row r="933" spans="1:20" x14ac:dyDescent="0.35">
      <c r="A933" s="2" t="s">
        <v>5753</v>
      </c>
      <c r="B933" s="3">
        <v>44607</v>
      </c>
      <c r="C933" s="2" t="s">
        <v>5754</v>
      </c>
      <c r="D933" t="s">
        <v>6158</v>
      </c>
      <c r="E933" t="str">
        <f t="shared" si="72"/>
        <v>Arabica-Dark-0.5</v>
      </c>
      <c r="F933" s="2">
        <v>4</v>
      </c>
      <c r="G933" s="2" t="str" cm="1">
        <f t="array" ref="G933">_xlfn.XLOOKUP(C933, customers!$A$1:A1932,customers!$B$1:B1932,,0)</f>
        <v>Mallory Shrimpling</v>
      </c>
      <c r="H933" s="2" t="str" cm="1">
        <f t="array" ref="H933">IF(_xlfn.XLOOKUP(C933,customers!$A$1:A1932,customers!$C$1:C1932,,0) = 0,"", _xlfn.XLOOKUP(C933,customers!$A$1:A1932,customers!$C$1:C1932,,0))</f>
        <v/>
      </c>
      <c r="I933" s="2" t="str">
        <f>_xlfn.XLOOKUP(C933,customers!$A$1:$A$1001,customers!$G$1:$G$1001,,0)</f>
        <v>United States</v>
      </c>
      <c r="J933" s="2" t="str">
        <f>_xlfn.XLOOKUP(Orders[[#This Row],[Customer ID]],customers!$A$1:$A$1001,customers!$F$1:$F$1001,,0)</f>
        <v>Allentown</v>
      </c>
      <c r="K933" t="str">
        <f>INDEX(products!$A$1:$G$49,MATCH(orders!$D933,products!$A$1:$A$49,0),MATCH(orders!K$1,products!$A$1:$G$1,0))</f>
        <v>Ara</v>
      </c>
      <c r="L933" t="str">
        <f>INDEX(products!$A$1:$G$49,MATCH(orders!$D933,products!$A$1:$A$49,0),MATCH(orders!L$1,products!$A$1:$G$1,0))</f>
        <v>D</v>
      </c>
      <c r="M933" s="14">
        <f>INDEX(products!$A$1:$G$49,MATCH(orders!$D933,products!$A$1:$A$49,0),MATCH(orders!M$1,products!$A$1:$G$1,0))</f>
        <v>0.5</v>
      </c>
      <c r="N933" s="4">
        <f>INDEX(products!$A$1:$G$49,MATCH(orders!$D933,products!$A$1:$A$49,0),MATCH(orders!N$1,products!$A$1:$G$1,0))</f>
        <v>5.97</v>
      </c>
      <c r="O933" s="13">
        <f t="shared" si="70"/>
        <v>23.88</v>
      </c>
      <c r="P933" s="13">
        <f>_xlfn.XLOOKUP(Orders[[#This Row],[Product ID]],products!$A$1:$A$49,products!$G$1:$G$49,,0)</f>
        <v>0.5373</v>
      </c>
      <c r="Q933" s="13">
        <f t="shared" si="71"/>
        <v>2.1492</v>
      </c>
      <c r="R933" t="str">
        <f t="shared" si="73"/>
        <v>Arabica</v>
      </c>
      <c r="S933" t="str">
        <f t="shared" si="74"/>
        <v>Dark</v>
      </c>
      <c r="T933" t="str">
        <f>_xlfn.XLOOKUP(Orders[[#This Row],[Customer ID]],customers!$A$1:$A$1001,customers!$I$1:$I$1001,,0)</f>
        <v>Yes</v>
      </c>
    </row>
    <row r="934" spans="1:20" x14ac:dyDescent="0.35">
      <c r="A934" s="2" t="s">
        <v>5757</v>
      </c>
      <c r="B934" s="3">
        <v>44117</v>
      </c>
      <c r="C934" s="2" t="s">
        <v>5758</v>
      </c>
      <c r="D934" t="s">
        <v>6141</v>
      </c>
      <c r="E934" t="str">
        <f t="shared" si="72"/>
        <v>Excelsa-Medium-1</v>
      </c>
      <c r="F934" s="2">
        <v>4</v>
      </c>
      <c r="G934" s="2" t="str" cm="1">
        <f t="array" ref="G934">_xlfn.XLOOKUP(C934, customers!$A$1:A1933,customers!$B$1:B1933,,0)</f>
        <v>Barnett Sillis</v>
      </c>
      <c r="H934" s="2" t="str" cm="1">
        <f t="array" ref="H934">IF(_xlfn.XLOOKUP(C934,customers!$A$1:A1933,customers!$C$1:C1933,,0) = 0,"", _xlfn.XLOOKUP(C934,customers!$A$1:A1933,customers!$C$1:C1933,,0))</f>
        <v>bsillispw@istockphoto.com</v>
      </c>
      <c r="I934" s="2" t="str">
        <f>_xlfn.XLOOKUP(C934,customers!$A$1:$A$1001,customers!$G$1:$G$1001,,0)</f>
        <v>United States</v>
      </c>
      <c r="J934" s="2" t="str">
        <f>_xlfn.XLOOKUP(Orders[[#This Row],[Customer ID]],customers!$A$1:$A$1001,customers!$F$1:$F$1001,,0)</f>
        <v>Miami</v>
      </c>
      <c r="K934" t="str">
        <f>INDEX(products!$A$1:$G$49,MATCH(orders!$D934,products!$A$1:$A$49,0),MATCH(orders!K$1,products!$A$1:$G$1,0))</f>
        <v>Exc</v>
      </c>
      <c r="L934" t="str">
        <f>INDEX(products!$A$1:$G$49,MATCH(orders!$D934,products!$A$1:$A$49,0),MATCH(orders!L$1,products!$A$1:$G$1,0))</f>
        <v>M</v>
      </c>
      <c r="M934" s="14">
        <f>INDEX(products!$A$1:$G$49,MATCH(orders!$D934,products!$A$1:$A$49,0),MATCH(orders!M$1,products!$A$1:$G$1,0))</f>
        <v>1</v>
      </c>
      <c r="N934" s="4">
        <f>INDEX(products!$A$1:$G$49,MATCH(orders!$D934,products!$A$1:$A$49,0),MATCH(orders!N$1,products!$A$1:$G$1,0))</f>
        <v>13.75</v>
      </c>
      <c r="O934" s="13">
        <f t="shared" si="70"/>
        <v>55</v>
      </c>
      <c r="P934" s="13">
        <f>_xlfn.XLOOKUP(Orders[[#This Row],[Product ID]],products!$A$1:$A$49,products!$G$1:$G$49,,0)</f>
        <v>1.5125</v>
      </c>
      <c r="Q934" s="13">
        <f t="shared" si="71"/>
        <v>6.05</v>
      </c>
      <c r="R934" t="str">
        <f t="shared" si="73"/>
        <v>Execelsa</v>
      </c>
      <c r="S934" t="str">
        <f t="shared" si="74"/>
        <v>Medium</v>
      </c>
      <c r="T934" t="str">
        <f>_xlfn.XLOOKUP(Orders[[#This Row],[Customer ID]],customers!$A$1:$A$1001,customers!$I$1:$I$1001,,0)</f>
        <v>No</v>
      </c>
    </row>
    <row r="935" spans="1:20" x14ac:dyDescent="0.35">
      <c r="A935" s="2" t="s">
        <v>5763</v>
      </c>
      <c r="B935" s="3">
        <v>44557</v>
      </c>
      <c r="C935" s="2" t="s">
        <v>5764</v>
      </c>
      <c r="D935" t="s">
        <v>6177</v>
      </c>
      <c r="E935" t="str">
        <f t="shared" si="72"/>
        <v>Robusta-Dark-1</v>
      </c>
      <c r="F935" s="2">
        <v>3</v>
      </c>
      <c r="G935" s="2" t="str" cm="1">
        <f t="array" ref="G935">_xlfn.XLOOKUP(C935, customers!$A$1:A1934,customers!$B$1:B1934,,0)</f>
        <v>Brenn Dundredge</v>
      </c>
      <c r="H935" s="2" t="str" cm="1">
        <f t="array" ref="H935">IF(_xlfn.XLOOKUP(C935,customers!$A$1:A1934,customers!$C$1:C1934,,0) = 0,"", _xlfn.XLOOKUP(C935,customers!$A$1:A1934,customers!$C$1:C1934,,0))</f>
        <v/>
      </c>
      <c r="I935" s="2" t="str">
        <f>_xlfn.XLOOKUP(C935,customers!$A$1:$A$1001,customers!$G$1:$G$1001,,0)</f>
        <v>United States</v>
      </c>
      <c r="J935" s="2" t="str">
        <f>_xlfn.XLOOKUP(Orders[[#This Row],[Customer ID]],customers!$A$1:$A$1001,customers!$F$1:$F$1001,,0)</f>
        <v>Oklahoma City</v>
      </c>
      <c r="K935" t="str">
        <f>INDEX(products!$A$1:$G$49,MATCH(orders!$D935,products!$A$1:$A$49,0),MATCH(orders!K$1,products!$A$1:$G$1,0))</f>
        <v>Rob</v>
      </c>
      <c r="L935" t="str">
        <f>INDEX(products!$A$1:$G$49,MATCH(orders!$D935,products!$A$1:$A$49,0),MATCH(orders!L$1,products!$A$1:$G$1,0))</f>
        <v>D</v>
      </c>
      <c r="M935" s="14">
        <f>INDEX(products!$A$1:$G$49,MATCH(orders!$D935,products!$A$1:$A$49,0),MATCH(orders!M$1,products!$A$1:$G$1,0))</f>
        <v>1</v>
      </c>
      <c r="N935" s="4">
        <f>INDEX(products!$A$1:$G$49,MATCH(orders!$D935,products!$A$1:$A$49,0),MATCH(orders!N$1,products!$A$1:$G$1,0))</f>
        <v>8.9499999999999993</v>
      </c>
      <c r="O935" s="13">
        <f t="shared" si="70"/>
        <v>26.849999999999998</v>
      </c>
      <c r="P935" s="13">
        <f>_xlfn.XLOOKUP(Orders[[#This Row],[Product ID]],products!$A$1:$A$49,products!$G$1:$G$49,,0)</f>
        <v>0.53699999999999992</v>
      </c>
      <c r="Q935" s="13">
        <f t="shared" si="71"/>
        <v>1.6109999999999998</v>
      </c>
      <c r="R935" t="str">
        <f t="shared" si="73"/>
        <v>Robusta</v>
      </c>
      <c r="S935" t="str">
        <f t="shared" si="74"/>
        <v>Dark</v>
      </c>
      <c r="T935" t="str">
        <f>_xlfn.XLOOKUP(Orders[[#This Row],[Customer ID]],customers!$A$1:$A$1001,customers!$I$1:$I$1001,,0)</f>
        <v>Yes</v>
      </c>
    </row>
    <row r="936" spans="1:20" x14ac:dyDescent="0.35">
      <c r="A936" s="2" t="s">
        <v>5768</v>
      </c>
      <c r="B936" s="3">
        <v>44409</v>
      </c>
      <c r="C936" s="2" t="s">
        <v>5769</v>
      </c>
      <c r="D936" t="s">
        <v>6151</v>
      </c>
      <c r="E936" t="str">
        <f t="shared" si="72"/>
        <v>Robusta-Medium-2.5</v>
      </c>
      <c r="F936" s="2">
        <v>5</v>
      </c>
      <c r="G936" s="2" t="str" cm="1">
        <f t="array" ref="G936">_xlfn.XLOOKUP(C936, customers!$A$1:A1935,customers!$B$1:B1935,,0)</f>
        <v>Read Cutts</v>
      </c>
      <c r="H936" s="2" t="str" cm="1">
        <f t="array" ref="H936">IF(_xlfn.XLOOKUP(C936,customers!$A$1:A1935,customers!$C$1:C1935,,0) = 0,"", _xlfn.XLOOKUP(C936,customers!$A$1:A1935,customers!$C$1:C1935,,0))</f>
        <v>rcuttspy@techcrunch.com</v>
      </c>
      <c r="I936" s="2" t="str">
        <f>_xlfn.XLOOKUP(C936,customers!$A$1:$A$1001,customers!$G$1:$G$1001,,0)</f>
        <v>United States</v>
      </c>
      <c r="J936" s="2" t="str">
        <f>_xlfn.XLOOKUP(Orders[[#This Row],[Customer ID]],customers!$A$1:$A$1001,customers!$F$1:$F$1001,,0)</f>
        <v>Rockford</v>
      </c>
      <c r="K936" t="str">
        <f>INDEX(products!$A$1:$G$49,MATCH(orders!$D936,products!$A$1:$A$49,0),MATCH(orders!K$1,products!$A$1:$G$1,0))</f>
        <v>Rob</v>
      </c>
      <c r="L936" t="str">
        <f>INDEX(products!$A$1:$G$49,MATCH(orders!$D936,products!$A$1:$A$49,0),MATCH(orders!L$1,products!$A$1:$G$1,0))</f>
        <v>M</v>
      </c>
      <c r="M936" s="14">
        <f>INDEX(products!$A$1:$G$49,MATCH(orders!$D936,products!$A$1:$A$49,0),MATCH(orders!M$1,products!$A$1:$G$1,0))</f>
        <v>2.5</v>
      </c>
      <c r="N936" s="4">
        <f>INDEX(products!$A$1:$G$49,MATCH(orders!$D936,products!$A$1:$A$49,0),MATCH(orders!N$1,products!$A$1:$G$1,0))</f>
        <v>22.884999999999998</v>
      </c>
      <c r="O936" s="13">
        <f t="shared" si="70"/>
        <v>114.42499999999998</v>
      </c>
      <c r="P936" s="13">
        <f>_xlfn.XLOOKUP(Orders[[#This Row],[Product ID]],products!$A$1:$A$49,products!$G$1:$G$49,,0)</f>
        <v>1.3730999999999998</v>
      </c>
      <c r="Q936" s="13">
        <f t="shared" si="71"/>
        <v>6.865499999999999</v>
      </c>
      <c r="R936" t="str">
        <f t="shared" si="73"/>
        <v>Robusta</v>
      </c>
      <c r="S936" t="str">
        <f t="shared" si="74"/>
        <v>Medium</v>
      </c>
      <c r="T936" t="str">
        <f>_xlfn.XLOOKUP(Orders[[#This Row],[Customer ID]],customers!$A$1:$A$1001,customers!$I$1:$I$1001,,0)</f>
        <v>No</v>
      </c>
    </row>
    <row r="937" spans="1:20" x14ac:dyDescent="0.35">
      <c r="A937" s="2" t="s">
        <v>5774</v>
      </c>
      <c r="B937" s="3">
        <v>44153</v>
      </c>
      <c r="C937" s="2" t="s">
        <v>5775</v>
      </c>
      <c r="D937" t="s">
        <v>6175</v>
      </c>
      <c r="E937" t="str">
        <f t="shared" si="72"/>
        <v>Arabica-Medium-2.5</v>
      </c>
      <c r="F937" s="2">
        <v>6</v>
      </c>
      <c r="G937" s="2" t="str" cm="1">
        <f t="array" ref="G937">_xlfn.XLOOKUP(C937, customers!$A$1:A1936,customers!$B$1:B1936,,0)</f>
        <v>Michale Delves</v>
      </c>
      <c r="H937" s="2" t="str" cm="1">
        <f t="array" ref="H937">IF(_xlfn.XLOOKUP(C937,customers!$A$1:A1936,customers!$C$1:C1936,,0) = 0,"", _xlfn.XLOOKUP(C937,customers!$A$1:A1936,customers!$C$1:C1936,,0))</f>
        <v>mdelvespz@nature.com</v>
      </c>
      <c r="I937" s="2" t="str">
        <f>_xlfn.XLOOKUP(C937,customers!$A$1:$A$1001,customers!$G$1:$G$1001,,0)</f>
        <v>United States</v>
      </c>
      <c r="J937" s="2" t="str">
        <f>_xlfn.XLOOKUP(Orders[[#This Row],[Customer ID]],customers!$A$1:$A$1001,customers!$F$1:$F$1001,,0)</f>
        <v>Montgomery</v>
      </c>
      <c r="K937" t="str">
        <f>INDEX(products!$A$1:$G$49,MATCH(orders!$D937,products!$A$1:$A$49,0),MATCH(orders!K$1,products!$A$1:$G$1,0))</f>
        <v>Ara</v>
      </c>
      <c r="L937" t="str">
        <f>INDEX(products!$A$1:$G$49,MATCH(orders!$D937,products!$A$1:$A$49,0),MATCH(orders!L$1,products!$A$1:$G$1,0))</f>
        <v>M</v>
      </c>
      <c r="M937" s="14">
        <f>INDEX(products!$A$1:$G$49,MATCH(orders!$D937,products!$A$1:$A$49,0),MATCH(orders!M$1,products!$A$1:$G$1,0))</f>
        <v>2.5</v>
      </c>
      <c r="N937" s="4">
        <f>INDEX(products!$A$1:$G$49,MATCH(orders!$D937,products!$A$1:$A$49,0),MATCH(orders!N$1,products!$A$1:$G$1,0))</f>
        <v>25.874999999999996</v>
      </c>
      <c r="O937" s="13">
        <f t="shared" si="70"/>
        <v>155.24999999999997</v>
      </c>
      <c r="P937" s="13">
        <f>_xlfn.XLOOKUP(Orders[[#This Row],[Product ID]],products!$A$1:$A$49,products!$G$1:$G$49,,0)</f>
        <v>2.3287499999999994</v>
      </c>
      <c r="Q937" s="13">
        <f t="shared" si="71"/>
        <v>13.972499999999997</v>
      </c>
      <c r="R937" t="str">
        <f t="shared" si="73"/>
        <v>Arabica</v>
      </c>
      <c r="S937" t="str">
        <f t="shared" si="74"/>
        <v>Medium</v>
      </c>
      <c r="T937" t="str">
        <f>_xlfn.XLOOKUP(Orders[[#This Row],[Customer ID]],customers!$A$1:$A$1001,customers!$I$1:$I$1001,,0)</f>
        <v>Yes</v>
      </c>
    </row>
    <row r="938" spans="1:20" x14ac:dyDescent="0.35">
      <c r="A938" s="2" t="s">
        <v>5780</v>
      </c>
      <c r="B938" s="3">
        <v>44493</v>
      </c>
      <c r="C938" s="2" t="s">
        <v>5781</v>
      </c>
      <c r="D938" t="s">
        <v>6169</v>
      </c>
      <c r="E938" t="str">
        <f t="shared" si="72"/>
        <v>Liberica-Dark-0.5</v>
      </c>
      <c r="F938" s="2">
        <v>3</v>
      </c>
      <c r="G938" s="2" t="str" cm="1">
        <f t="array" ref="G938">_xlfn.XLOOKUP(C938, customers!$A$1:A1937,customers!$B$1:B1937,,0)</f>
        <v>Devland Gritton</v>
      </c>
      <c r="H938" s="2" t="str" cm="1">
        <f t="array" ref="H938">IF(_xlfn.XLOOKUP(C938,customers!$A$1:A1937,customers!$C$1:C1937,,0) = 0,"", _xlfn.XLOOKUP(C938,customers!$A$1:A1937,customers!$C$1:C1937,,0))</f>
        <v>dgrittonq0@nydailynews.com</v>
      </c>
      <c r="I938" s="2" t="str">
        <f>_xlfn.XLOOKUP(C938,customers!$A$1:$A$1001,customers!$G$1:$G$1001,,0)</f>
        <v>United States</v>
      </c>
      <c r="J938" s="2" t="str">
        <f>_xlfn.XLOOKUP(Orders[[#This Row],[Customer ID]],customers!$A$1:$A$1001,customers!$F$1:$F$1001,,0)</f>
        <v>Pasadena</v>
      </c>
      <c r="K938" t="str">
        <f>INDEX(products!$A$1:$G$49,MATCH(orders!$D938,products!$A$1:$A$49,0),MATCH(orders!K$1,products!$A$1:$G$1,0))</f>
        <v>Lib</v>
      </c>
      <c r="L938" t="str">
        <f>INDEX(products!$A$1:$G$49,MATCH(orders!$D938,products!$A$1:$A$49,0),MATCH(orders!L$1,products!$A$1:$G$1,0))</f>
        <v>D</v>
      </c>
      <c r="M938" s="14">
        <f>INDEX(products!$A$1:$G$49,MATCH(orders!$D938,products!$A$1:$A$49,0),MATCH(orders!M$1,products!$A$1:$G$1,0))</f>
        <v>0.5</v>
      </c>
      <c r="N938" s="4">
        <f>INDEX(products!$A$1:$G$49,MATCH(orders!$D938,products!$A$1:$A$49,0),MATCH(orders!N$1,products!$A$1:$G$1,0))</f>
        <v>7.77</v>
      </c>
      <c r="O938" s="13">
        <f t="shared" si="70"/>
        <v>23.31</v>
      </c>
      <c r="P938" s="13">
        <f>_xlfn.XLOOKUP(Orders[[#This Row],[Product ID]],products!$A$1:$A$49,products!$G$1:$G$49,,0)</f>
        <v>1.0101</v>
      </c>
      <c r="Q938" s="13">
        <f t="shared" si="71"/>
        <v>3.0303</v>
      </c>
      <c r="R938" t="str">
        <f t="shared" si="73"/>
        <v>Liberica</v>
      </c>
      <c r="S938" t="str">
        <f t="shared" si="74"/>
        <v>Dark</v>
      </c>
      <c r="T938" t="str">
        <f>_xlfn.XLOOKUP(Orders[[#This Row],[Customer ID]],customers!$A$1:$A$1001,customers!$I$1:$I$1001,,0)</f>
        <v>Yes</v>
      </c>
    </row>
    <row r="939" spans="1:20" x14ac:dyDescent="0.35">
      <c r="A939" s="2" t="s">
        <v>5780</v>
      </c>
      <c r="B939" s="3">
        <v>44493</v>
      </c>
      <c r="C939" s="2" t="s">
        <v>5781</v>
      </c>
      <c r="D939" t="s">
        <v>6151</v>
      </c>
      <c r="E939" t="str">
        <f t="shared" si="72"/>
        <v>Robusta-Medium-2.5</v>
      </c>
      <c r="F939" s="2">
        <v>4</v>
      </c>
      <c r="G939" s="2" t="str" cm="1">
        <f t="array" ref="G939">_xlfn.XLOOKUP(C939, customers!$A$1:A1938,customers!$B$1:B1938,,0)</f>
        <v>Devland Gritton</v>
      </c>
      <c r="H939" s="2" t="str" cm="1">
        <f t="array" ref="H939">IF(_xlfn.XLOOKUP(C939,customers!$A$1:A1938,customers!$C$1:C1938,,0) = 0,"", _xlfn.XLOOKUP(C939,customers!$A$1:A1938,customers!$C$1:C1938,,0))</f>
        <v>dgrittonq0@nydailynews.com</v>
      </c>
      <c r="I939" s="2" t="str">
        <f>_xlfn.XLOOKUP(C939,customers!$A$1:$A$1001,customers!$G$1:$G$1001,,0)</f>
        <v>United States</v>
      </c>
      <c r="J939" s="2" t="str">
        <f>_xlfn.XLOOKUP(Orders[[#This Row],[Customer ID]],customers!$A$1:$A$1001,customers!$F$1:$F$1001,,0)</f>
        <v>Pasadena</v>
      </c>
      <c r="K939" t="str">
        <f>INDEX(products!$A$1:$G$49,MATCH(orders!$D939,products!$A$1:$A$49,0),MATCH(orders!K$1,products!$A$1:$G$1,0))</f>
        <v>Rob</v>
      </c>
      <c r="L939" t="str">
        <f>INDEX(products!$A$1:$G$49,MATCH(orders!$D939,products!$A$1:$A$49,0),MATCH(orders!L$1,products!$A$1:$G$1,0))</f>
        <v>M</v>
      </c>
      <c r="M939" s="14">
        <f>INDEX(products!$A$1:$G$49,MATCH(orders!$D939,products!$A$1:$A$49,0),MATCH(orders!M$1,products!$A$1:$G$1,0))</f>
        <v>2.5</v>
      </c>
      <c r="N939" s="4">
        <f>INDEX(products!$A$1:$G$49,MATCH(orders!$D939,products!$A$1:$A$49,0),MATCH(orders!N$1,products!$A$1:$G$1,0))</f>
        <v>22.884999999999998</v>
      </c>
      <c r="O939" s="13">
        <f t="shared" si="70"/>
        <v>91.539999999999992</v>
      </c>
      <c r="P939" s="13">
        <f>_xlfn.XLOOKUP(Orders[[#This Row],[Product ID]],products!$A$1:$A$49,products!$G$1:$G$49,,0)</f>
        <v>1.3730999999999998</v>
      </c>
      <c r="Q939" s="13">
        <f t="shared" si="71"/>
        <v>5.4923999999999991</v>
      </c>
      <c r="R939" t="str">
        <f t="shared" si="73"/>
        <v>Robusta</v>
      </c>
      <c r="S939" t="str">
        <f t="shared" si="74"/>
        <v>Medium</v>
      </c>
      <c r="T939" t="str">
        <f>_xlfn.XLOOKUP(Orders[[#This Row],[Customer ID]],customers!$A$1:$A$1001,customers!$I$1:$I$1001,,0)</f>
        <v>Yes</v>
      </c>
    </row>
    <row r="940" spans="1:20" x14ac:dyDescent="0.35">
      <c r="A940" s="2" t="s">
        <v>5791</v>
      </c>
      <c r="B940" s="3">
        <v>43829</v>
      </c>
      <c r="C940" s="2" t="s">
        <v>5792</v>
      </c>
      <c r="D940" t="s">
        <v>6171</v>
      </c>
      <c r="E940" t="str">
        <f t="shared" si="72"/>
        <v>Excelsa-Light-1</v>
      </c>
      <c r="F940" s="2">
        <v>5</v>
      </c>
      <c r="G940" s="2" t="str" cm="1">
        <f t="array" ref="G940">_xlfn.XLOOKUP(C940, customers!$A$1:A1939,customers!$B$1:B1939,,0)</f>
        <v>Dell Gut</v>
      </c>
      <c r="H940" s="2" t="str" cm="1">
        <f t="array" ref="H940">IF(_xlfn.XLOOKUP(C940,customers!$A$1:A1939,customers!$C$1:C1939,,0) = 0,"", _xlfn.XLOOKUP(C940,customers!$A$1:A1939,customers!$C$1:C1939,,0))</f>
        <v>dgutq2@umich.edu</v>
      </c>
      <c r="I940" s="2" t="str">
        <f>_xlfn.XLOOKUP(C940,customers!$A$1:$A$1001,customers!$G$1:$G$1001,,0)</f>
        <v>United States</v>
      </c>
      <c r="J940" s="2" t="str">
        <f>_xlfn.XLOOKUP(Orders[[#This Row],[Customer ID]],customers!$A$1:$A$1001,customers!$F$1:$F$1001,,0)</f>
        <v>Houston</v>
      </c>
      <c r="K940" t="str">
        <f>INDEX(products!$A$1:$G$49,MATCH(orders!$D940,products!$A$1:$A$49,0),MATCH(orders!K$1,products!$A$1:$G$1,0))</f>
        <v>Exc</v>
      </c>
      <c r="L940" t="str">
        <f>INDEX(products!$A$1:$G$49,MATCH(orders!$D940,products!$A$1:$A$49,0),MATCH(orders!L$1,products!$A$1:$G$1,0))</f>
        <v>L</v>
      </c>
      <c r="M940" s="14">
        <f>INDEX(products!$A$1:$G$49,MATCH(orders!$D940,products!$A$1:$A$49,0),MATCH(orders!M$1,products!$A$1:$G$1,0))</f>
        <v>1</v>
      </c>
      <c r="N940" s="4">
        <f>INDEX(products!$A$1:$G$49,MATCH(orders!$D940,products!$A$1:$A$49,0),MATCH(orders!N$1,products!$A$1:$G$1,0))</f>
        <v>14.85</v>
      </c>
      <c r="O940" s="13">
        <f t="shared" si="70"/>
        <v>74.25</v>
      </c>
      <c r="P940" s="13">
        <f>_xlfn.XLOOKUP(Orders[[#This Row],[Product ID]],products!$A$1:$A$49,products!$G$1:$G$49,,0)</f>
        <v>1.6335</v>
      </c>
      <c r="Q940" s="13">
        <f t="shared" si="71"/>
        <v>8.1675000000000004</v>
      </c>
      <c r="R940" t="str">
        <f t="shared" si="73"/>
        <v>Execelsa</v>
      </c>
      <c r="S940" t="str">
        <f t="shared" si="74"/>
        <v>Light</v>
      </c>
      <c r="T940" t="str">
        <f>_xlfn.XLOOKUP(Orders[[#This Row],[Customer ID]],customers!$A$1:$A$1001,customers!$I$1:$I$1001,,0)</f>
        <v>Yes</v>
      </c>
    </row>
    <row r="941" spans="1:20" x14ac:dyDescent="0.35">
      <c r="A941" s="2" t="s">
        <v>5797</v>
      </c>
      <c r="B941" s="3">
        <v>44229</v>
      </c>
      <c r="C941" s="2" t="s">
        <v>5798</v>
      </c>
      <c r="D941" t="s">
        <v>6145</v>
      </c>
      <c r="E941" t="str">
        <f t="shared" si="72"/>
        <v>Liberica-Light-0.2</v>
      </c>
      <c r="F941" s="2">
        <v>6</v>
      </c>
      <c r="G941" s="2" t="str" cm="1">
        <f t="array" ref="G941">_xlfn.XLOOKUP(C941, customers!$A$1:A1940,customers!$B$1:B1940,,0)</f>
        <v>Willy Pummery</v>
      </c>
      <c r="H941" s="2" t="str" cm="1">
        <f t="array" ref="H941">IF(_xlfn.XLOOKUP(C941,customers!$A$1:A1940,customers!$C$1:C1940,,0) = 0,"", _xlfn.XLOOKUP(C941,customers!$A$1:A1940,customers!$C$1:C1940,,0))</f>
        <v>wpummeryq3@topsy.com</v>
      </c>
      <c r="I941" s="2" t="str">
        <f>_xlfn.XLOOKUP(C941,customers!$A$1:$A$1001,customers!$G$1:$G$1001,,0)</f>
        <v>United States</v>
      </c>
      <c r="J941" s="2" t="str">
        <f>_xlfn.XLOOKUP(Orders[[#This Row],[Customer ID]],customers!$A$1:$A$1001,customers!$F$1:$F$1001,,0)</f>
        <v>Muskegon</v>
      </c>
      <c r="K941" t="str">
        <f>INDEX(products!$A$1:$G$49,MATCH(orders!$D941,products!$A$1:$A$49,0),MATCH(orders!K$1,products!$A$1:$G$1,0))</f>
        <v>Lib</v>
      </c>
      <c r="L941" t="str">
        <f>INDEX(products!$A$1:$G$49,MATCH(orders!$D941,products!$A$1:$A$49,0),MATCH(orders!L$1,products!$A$1:$G$1,0))</f>
        <v>L</v>
      </c>
      <c r="M941" s="14">
        <f>INDEX(products!$A$1:$G$49,MATCH(orders!$D941,products!$A$1:$A$49,0),MATCH(orders!M$1,products!$A$1:$G$1,0))</f>
        <v>0.2</v>
      </c>
      <c r="N941" s="4">
        <f>INDEX(products!$A$1:$G$49,MATCH(orders!$D941,products!$A$1:$A$49,0),MATCH(orders!N$1,products!$A$1:$G$1,0))</f>
        <v>4.7549999999999999</v>
      </c>
      <c r="O941" s="13">
        <f t="shared" si="70"/>
        <v>28.53</v>
      </c>
      <c r="P941" s="13">
        <f>_xlfn.XLOOKUP(Orders[[#This Row],[Product ID]],products!$A$1:$A$49,products!$G$1:$G$49,,0)</f>
        <v>0.61814999999999998</v>
      </c>
      <c r="Q941" s="13">
        <f t="shared" si="71"/>
        <v>3.7088999999999999</v>
      </c>
      <c r="R941" t="str">
        <f t="shared" si="73"/>
        <v>Liberica</v>
      </c>
      <c r="S941" t="str">
        <f t="shared" si="74"/>
        <v>Light</v>
      </c>
      <c r="T941" t="str">
        <f>_xlfn.XLOOKUP(Orders[[#This Row],[Customer ID]],customers!$A$1:$A$1001,customers!$I$1:$I$1001,,0)</f>
        <v>No</v>
      </c>
    </row>
    <row r="942" spans="1:20" x14ac:dyDescent="0.35">
      <c r="A942" s="2" t="s">
        <v>5803</v>
      </c>
      <c r="B942" s="3">
        <v>44332</v>
      </c>
      <c r="C942" s="2" t="s">
        <v>5804</v>
      </c>
      <c r="D942" t="s">
        <v>6173</v>
      </c>
      <c r="E942" t="str">
        <f t="shared" si="72"/>
        <v>Robusta-Light-0.5</v>
      </c>
      <c r="F942" s="2">
        <v>2</v>
      </c>
      <c r="G942" s="2" t="str" cm="1">
        <f t="array" ref="G942">_xlfn.XLOOKUP(C942, customers!$A$1:A1941,customers!$B$1:B1941,,0)</f>
        <v>Geoffrey Siuda</v>
      </c>
      <c r="H942" s="2" t="str" cm="1">
        <f t="array" ref="H942">IF(_xlfn.XLOOKUP(C942,customers!$A$1:A1941,customers!$C$1:C1941,,0) = 0,"", _xlfn.XLOOKUP(C942,customers!$A$1:A1941,customers!$C$1:C1941,,0))</f>
        <v>gsiudaq4@nytimes.com</v>
      </c>
      <c r="I942" s="2" t="str">
        <f>_xlfn.XLOOKUP(C942,customers!$A$1:$A$1001,customers!$G$1:$G$1001,,0)</f>
        <v>United States</v>
      </c>
      <c r="J942" s="2" t="str">
        <f>_xlfn.XLOOKUP(Orders[[#This Row],[Customer ID]],customers!$A$1:$A$1001,customers!$F$1:$F$1001,,0)</f>
        <v>Washington</v>
      </c>
      <c r="K942" t="str">
        <f>INDEX(products!$A$1:$G$49,MATCH(orders!$D942,products!$A$1:$A$49,0),MATCH(orders!K$1,products!$A$1:$G$1,0))</f>
        <v>Rob</v>
      </c>
      <c r="L942" t="str">
        <f>INDEX(products!$A$1:$G$49,MATCH(orders!$D942,products!$A$1:$A$49,0),MATCH(orders!L$1,products!$A$1:$G$1,0))</f>
        <v>L</v>
      </c>
      <c r="M942" s="14">
        <f>INDEX(products!$A$1:$G$49,MATCH(orders!$D942,products!$A$1:$A$49,0),MATCH(orders!M$1,products!$A$1:$G$1,0))</f>
        <v>0.5</v>
      </c>
      <c r="N942" s="4">
        <f>INDEX(products!$A$1:$G$49,MATCH(orders!$D942,products!$A$1:$A$49,0),MATCH(orders!N$1,products!$A$1:$G$1,0))</f>
        <v>7.169999999999999</v>
      </c>
      <c r="O942" s="13">
        <f t="shared" si="70"/>
        <v>14.339999999999998</v>
      </c>
      <c r="P942" s="13">
        <f>_xlfn.XLOOKUP(Orders[[#This Row],[Product ID]],products!$A$1:$A$49,products!$G$1:$G$49,,0)</f>
        <v>0.43019999999999992</v>
      </c>
      <c r="Q942" s="13">
        <f t="shared" si="71"/>
        <v>0.86039999999999983</v>
      </c>
      <c r="R942" t="str">
        <f t="shared" si="73"/>
        <v>Robusta</v>
      </c>
      <c r="S942" t="str">
        <f t="shared" si="74"/>
        <v>Light</v>
      </c>
      <c r="T942" t="str">
        <f>_xlfn.XLOOKUP(Orders[[#This Row],[Customer ID]],customers!$A$1:$A$1001,customers!$I$1:$I$1001,,0)</f>
        <v>Yes</v>
      </c>
    </row>
    <row r="943" spans="1:20" x14ac:dyDescent="0.35">
      <c r="A943" s="2" t="s">
        <v>5809</v>
      </c>
      <c r="B943" s="3">
        <v>44674</v>
      </c>
      <c r="C943" s="2" t="s">
        <v>5810</v>
      </c>
      <c r="D943" t="s">
        <v>6180</v>
      </c>
      <c r="E943" t="str">
        <f t="shared" si="72"/>
        <v>Arabica-Light-0.5</v>
      </c>
      <c r="F943" s="2">
        <v>2</v>
      </c>
      <c r="G943" s="2" t="str" cm="1">
        <f t="array" ref="G943">_xlfn.XLOOKUP(C943, customers!$A$1:A1942,customers!$B$1:B1942,,0)</f>
        <v>Henderson Crowne</v>
      </c>
      <c r="H943" s="2" t="str" cm="1">
        <f t="array" ref="H943">IF(_xlfn.XLOOKUP(C943,customers!$A$1:A1942,customers!$C$1:C1942,,0) = 0,"", _xlfn.XLOOKUP(C943,customers!$A$1:A1942,customers!$C$1:C1942,,0))</f>
        <v>hcrowneq5@wufoo.com</v>
      </c>
      <c r="I943" s="2" t="str">
        <f>_xlfn.XLOOKUP(C943,customers!$A$1:$A$1001,customers!$G$1:$G$1001,,0)</f>
        <v>Ireland</v>
      </c>
      <c r="J943" s="2" t="str">
        <f>_xlfn.XLOOKUP(Orders[[#This Row],[Customer ID]],customers!$A$1:$A$1001,customers!$F$1:$F$1001,,0)</f>
        <v>Sallins</v>
      </c>
      <c r="K943" t="str">
        <f>INDEX(products!$A$1:$G$49,MATCH(orders!$D943,products!$A$1:$A$49,0),MATCH(orders!K$1,products!$A$1:$G$1,0))</f>
        <v>Ara</v>
      </c>
      <c r="L943" t="str">
        <f>INDEX(products!$A$1:$G$49,MATCH(orders!$D943,products!$A$1:$A$49,0),MATCH(orders!L$1,products!$A$1:$G$1,0))</f>
        <v>L</v>
      </c>
      <c r="M943" s="14">
        <f>INDEX(products!$A$1:$G$49,MATCH(orders!$D943,products!$A$1:$A$49,0),MATCH(orders!M$1,products!$A$1:$G$1,0))</f>
        <v>0.5</v>
      </c>
      <c r="N943" s="4">
        <f>INDEX(products!$A$1:$G$49,MATCH(orders!$D943,products!$A$1:$A$49,0),MATCH(orders!N$1,products!$A$1:$G$1,0))</f>
        <v>7.77</v>
      </c>
      <c r="O943" s="13">
        <f t="shared" si="70"/>
        <v>15.54</v>
      </c>
      <c r="P943" s="13">
        <f>_xlfn.XLOOKUP(Orders[[#This Row],[Product ID]],products!$A$1:$A$49,products!$G$1:$G$49,,0)</f>
        <v>0.69929999999999992</v>
      </c>
      <c r="Q943" s="13">
        <f t="shared" si="71"/>
        <v>1.3985999999999998</v>
      </c>
      <c r="R943" t="str">
        <f t="shared" si="73"/>
        <v>Arabica</v>
      </c>
      <c r="S943" t="str">
        <f t="shared" si="74"/>
        <v>Light</v>
      </c>
      <c r="T943" t="str">
        <f>_xlfn.XLOOKUP(Orders[[#This Row],[Customer ID]],customers!$A$1:$A$1001,customers!$I$1:$I$1001,,0)</f>
        <v>Yes</v>
      </c>
    </row>
    <row r="944" spans="1:20" x14ac:dyDescent="0.35">
      <c r="A944" s="2" t="s">
        <v>5816</v>
      </c>
      <c r="B944" s="3">
        <v>44464</v>
      </c>
      <c r="C944" s="2" t="s">
        <v>5817</v>
      </c>
      <c r="D944" t="s">
        <v>6179</v>
      </c>
      <c r="E944" t="str">
        <f t="shared" si="72"/>
        <v>Robusta-Light-1</v>
      </c>
      <c r="F944" s="2">
        <v>3</v>
      </c>
      <c r="G944" s="2" t="str" cm="1">
        <f t="array" ref="G944">_xlfn.XLOOKUP(C944, customers!$A$1:A1943,customers!$B$1:B1943,,0)</f>
        <v>Vernor Pawsey</v>
      </c>
      <c r="H944" s="2" t="str" cm="1">
        <f t="array" ref="H944">IF(_xlfn.XLOOKUP(C944,customers!$A$1:A1943,customers!$C$1:C1943,,0) = 0,"", _xlfn.XLOOKUP(C944,customers!$A$1:A1943,customers!$C$1:C1943,,0))</f>
        <v>vpawseyq6@tiny.cc</v>
      </c>
      <c r="I944" s="2" t="str">
        <f>_xlfn.XLOOKUP(C944,customers!$A$1:$A$1001,customers!$G$1:$G$1001,,0)</f>
        <v>United States</v>
      </c>
      <c r="J944" s="2" t="str">
        <f>_xlfn.XLOOKUP(Orders[[#This Row],[Customer ID]],customers!$A$1:$A$1001,customers!$F$1:$F$1001,,0)</f>
        <v>Macon</v>
      </c>
      <c r="K944" t="str">
        <f>INDEX(products!$A$1:$G$49,MATCH(orders!$D944,products!$A$1:$A$49,0),MATCH(orders!K$1,products!$A$1:$G$1,0))</f>
        <v>Rob</v>
      </c>
      <c r="L944" t="str">
        <f>INDEX(products!$A$1:$G$49,MATCH(orders!$D944,products!$A$1:$A$49,0),MATCH(orders!L$1,products!$A$1:$G$1,0))</f>
        <v>L</v>
      </c>
      <c r="M944" s="14">
        <f>INDEX(products!$A$1:$G$49,MATCH(orders!$D944,products!$A$1:$A$49,0),MATCH(orders!M$1,products!$A$1:$G$1,0))</f>
        <v>1</v>
      </c>
      <c r="N944" s="4">
        <f>INDEX(products!$A$1:$G$49,MATCH(orders!$D944,products!$A$1:$A$49,0),MATCH(orders!N$1,products!$A$1:$G$1,0))</f>
        <v>11.95</v>
      </c>
      <c r="O944" s="13">
        <f t="shared" si="70"/>
        <v>35.849999999999994</v>
      </c>
      <c r="P944" s="13">
        <f>_xlfn.XLOOKUP(Orders[[#This Row],[Product ID]],products!$A$1:$A$49,products!$G$1:$G$49,,0)</f>
        <v>0.71699999999999997</v>
      </c>
      <c r="Q944" s="13">
        <f t="shared" si="71"/>
        <v>2.1509999999999998</v>
      </c>
      <c r="R944" t="str">
        <f t="shared" si="73"/>
        <v>Robusta</v>
      </c>
      <c r="S944" t="str">
        <f t="shared" si="74"/>
        <v>Light</v>
      </c>
      <c r="T944" t="str">
        <f>_xlfn.XLOOKUP(Orders[[#This Row],[Customer ID]],customers!$A$1:$A$1001,customers!$I$1:$I$1001,,0)</f>
        <v>No</v>
      </c>
    </row>
    <row r="945" spans="1:20" x14ac:dyDescent="0.35">
      <c r="A945" s="2" t="s">
        <v>5822</v>
      </c>
      <c r="B945" s="3">
        <v>44719</v>
      </c>
      <c r="C945" s="2" t="s">
        <v>5823</v>
      </c>
      <c r="D945" t="s">
        <v>6180</v>
      </c>
      <c r="E945" t="str">
        <f t="shared" si="72"/>
        <v>Arabica-Light-0.5</v>
      </c>
      <c r="F945" s="2">
        <v>6</v>
      </c>
      <c r="G945" s="2" t="str" cm="1">
        <f t="array" ref="G945">_xlfn.XLOOKUP(C945, customers!$A$1:A1944,customers!$B$1:B1944,,0)</f>
        <v>Augustin Waterhouse</v>
      </c>
      <c r="H945" s="2" t="str" cm="1">
        <f t="array" ref="H945">IF(_xlfn.XLOOKUP(C945,customers!$A$1:A1944,customers!$C$1:C1944,,0) = 0,"", _xlfn.XLOOKUP(C945,customers!$A$1:A1944,customers!$C$1:C1944,,0))</f>
        <v>awaterhouseq7@istockphoto.com</v>
      </c>
      <c r="I945" s="2" t="str">
        <f>_xlfn.XLOOKUP(C945,customers!$A$1:$A$1001,customers!$G$1:$G$1001,,0)</f>
        <v>United States</v>
      </c>
      <c r="J945" s="2" t="str">
        <f>_xlfn.XLOOKUP(Orders[[#This Row],[Customer ID]],customers!$A$1:$A$1001,customers!$F$1:$F$1001,,0)</f>
        <v>Shreveport</v>
      </c>
      <c r="K945" t="str">
        <f>INDEX(products!$A$1:$G$49,MATCH(orders!$D945,products!$A$1:$A$49,0),MATCH(orders!K$1,products!$A$1:$G$1,0))</f>
        <v>Ara</v>
      </c>
      <c r="L945" t="str">
        <f>INDEX(products!$A$1:$G$49,MATCH(orders!$D945,products!$A$1:$A$49,0),MATCH(orders!L$1,products!$A$1:$G$1,0))</f>
        <v>L</v>
      </c>
      <c r="M945" s="14">
        <f>INDEX(products!$A$1:$G$49,MATCH(orders!$D945,products!$A$1:$A$49,0),MATCH(orders!M$1,products!$A$1:$G$1,0))</f>
        <v>0.5</v>
      </c>
      <c r="N945" s="4">
        <f>INDEX(products!$A$1:$G$49,MATCH(orders!$D945,products!$A$1:$A$49,0),MATCH(orders!N$1,products!$A$1:$G$1,0))</f>
        <v>7.77</v>
      </c>
      <c r="O945" s="13">
        <f t="shared" si="70"/>
        <v>46.62</v>
      </c>
      <c r="P945" s="13">
        <f>_xlfn.XLOOKUP(Orders[[#This Row],[Product ID]],products!$A$1:$A$49,products!$G$1:$G$49,,0)</f>
        <v>0.69929999999999992</v>
      </c>
      <c r="Q945" s="13">
        <f t="shared" si="71"/>
        <v>4.1957999999999993</v>
      </c>
      <c r="R945" t="str">
        <f t="shared" si="73"/>
        <v>Arabica</v>
      </c>
      <c r="S945" t="str">
        <f t="shared" si="74"/>
        <v>Light</v>
      </c>
      <c r="T945" t="str">
        <f>_xlfn.XLOOKUP(Orders[[#This Row],[Customer ID]],customers!$A$1:$A$1001,customers!$I$1:$I$1001,,0)</f>
        <v>No</v>
      </c>
    </row>
    <row r="946" spans="1:20" x14ac:dyDescent="0.35">
      <c r="A946" s="2" t="s">
        <v>5828</v>
      </c>
      <c r="B946" s="3">
        <v>44054</v>
      </c>
      <c r="C946" s="2" t="s">
        <v>5829</v>
      </c>
      <c r="D946" t="s">
        <v>6173</v>
      </c>
      <c r="E946" t="str">
        <f t="shared" si="72"/>
        <v>Robusta-Light-0.5</v>
      </c>
      <c r="F946" s="2">
        <v>5</v>
      </c>
      <c r="G946" s="2" t="str" cm="1">
        <f t="array" ref="G946">_xlfn.XLOOKUP(C946, customers!$A$1:A1945,customers!$B$1:B1945,,0)</f>
        <v>Fanchon Haughian</v>
      </c>
      <c r="H946" s="2" t="str" cm="1">
        <f t="array" ref="H946">IF(_xlfn.XLOOKUP(C946,customers!$A$1:A1945,customers!$C$1:C1945,,0) = 0,"", _xlfn.XLOOKUP(C946,customers!$A$1:A1945,customers!$C$1:C1945,,0))</f>
        <v>fhaughianq8@1688.com</v>
      </c>
      <c r="I946" s="2" t="str">
        <f>_xlfn.XLOOKUP(C946,customers!$A$1:$A$1001,customers!$G$1:$G$1001,,0)</f>
        <v>United States</v>
      </c>
      <c r="J946" s="2" t="str">
        <f>_xlfn.XLOOKUP(Orders[[#This Row],[Customer ID]],customers!$A$1:$A$1001,customers!$F$1:$F$1001,,0)</f>
        <v>Tacoma</v>
      </c>
      <c r="K946" t="str">
        <f>INDEX(products!$A$1:$G$49,MATCH(orders!$D946,products!$A$1:$A$49,0),MATCH(orders!K$1,products!$A$1:$G$1,0))</f>
        <v>Rob</v>
      </c>
      <c r="L946" t="str">
        <f>INDEX(products!$A$1:$G$49,MATCH(orders!$D946,products!$A$1:$A$49,0),MATCH(orders!L$1,products!$A$1:$G$1,0))</f>
        <v>L</v>
      </c>
      <c r="M946" s="14">
        <f>INDEX(products!$A$1:$G$49,MATCH(orders!$D946,products!$A$1:$A$49,0),MATCH(orders!M$1,products!$A$1:$G$1,0))</f>
        <v>0.5</v>
      </c>
      <c r="N946" s="4">
        <f>INDEX(products!$A$1:$G$49,MATCH(orders!$D946,products!$A$1:$A$49,0),MATCH(orders!N$1,products!$A$1:$G$1,0))</f>
        <v>7.169999999999999</v>
      </c>
      <c r="O946" s="13">
        <f t="shared" si="70"/>
        <v>35.849999999999994</v>
      </c>
      <c r="P946" s="13">
        <f>_xlfn.XLOOKUP(Orders[[#This Row],[Product ID]],products!$A$1:$A$49,products!$G$1:$G$49,,0)</f>
        <v>0.43019999999999992</v>
      </c>
      <c r="Q946" s="13">
        <f t="shared" si="71"/>
        <v>2.1509999999999998</v>
      </c>
      <c r="R946" t="str">
        <f t="shared" si="73"/>
        <v>Robusta</v>
      </c>
      <c r="S946" t="str">
        <f t="shared" si="74"/>
        <v>Light</v>
      </c>
      <c r="T946" t="str">
        <f>_xlfn.XLOOKUP(Orders[[#This Row],[Customer ID]],customers!$A$1:$A$1001,customers!$I$1:$I$1001,,0)</f>
        <v>No</v>
      </c>
    </row>
    <row r="947" spans="1:20" x14ac:dyDescent="0.35">
      <c r="A947" s="2" t="s">
        <v>5834</v>
      </c>
      <c r="B947" s="3">
        <v>43524</v>
      </c>
      <c r="C947" s="2" t="s">
        <v>5835</v>
      </c>
      <c r="D947" t="s">
        <v>6165</v>
      </c>
      <c r="E947" t="str">
        <f t="shared" si="72"/>
        <v>Liberica-Dark-2.5</v>
      </c>
      <c r="F947" s="2">
        <v>4</v>
      </c>
      <c r="G947" s="2" t="str" cm="1">
        <f t="array" ref="G947">_xlfn.XLOOKUP(C947, customers!$A$1:A1946,customers!$B$1:B1946,,0)</f>
        <v>Jaimie Hatz</v>
      </c>
      <c r="H947" s="2" t="str" cm="1">
        <f t="array" ref="H947">IF(_xlfn.XLOOKUP(C947,customers!$A$1:A1946,customers!$C$1:C1946,,0) = 0,"", _xlfn.XLOOKUP(C947,customers!$A$1:A1946,customers!$C$1:C1946,,0))</f>
        <v/>
      </c>
      <c r="I947" s="2" t="str">
        <f>_xlfn.XLOOKUP(C947,customers!$A$1:$A$1001,customers!$G$1:$G$1001,,0)</f>
        <v>United States</v>
      </c>
      <c r="J947" s="2" t="str">
        <f>_xlfn.XLOOKUP(Orders[[#This Row],[Customer ID]],customers!$A$1:$A$1001,customers!$F$1:$F$1001,,0)</f>
        <v>El Paso</v>
      </c>
      <c r="K947" t="str">
        <f>INDEX(products!$A$1:$G$49,MATCH(orders!$D947,products!$A$1:$A$49,0),MATCH(orders!K$1,products!$A$1:$G$1,0))</f>
        <v>Lib</v>
      </c>
      <c r="L947" t="str">
        <f>INDEX(products!$A$1:$G$49,MATCH(orders!$D947,products!$A$1:$A$49,0),MATCH(orders!L$1,products!$A$1:$G$1,0))</f>
        <v>D</v>
      </c>
      <c r="M947" s="14">
        <f>INDEX(products!$A$1:$G$49,MATCH(orders!$D947,products!$A$1:$A$49,0),MATCH(orders!M$1,products!$A$1:$G$1,0))</f>
        <v>2.5</v>
      </c>
      <c r="N947" s="4">
        <f>INDEX(products!$A$1:$G$49,MATCH(orders!$D947,products!$A$1:$A$49,0),MATCH(orders!N$1,products!$A$1:$G$1,0))</f>
        <v>29.784999999999997</v>
      </c>
      <c r="O947" s="13">
        <f t="shared" si="70"/>
        <v>119.13999999999999</v>
      </c>
      <c r="P947" s="13">
        <f>_xlfn.XLOOKUP(Orders[[#This Row],[Product ID]],products!$A$1:$A$49,products!$G$1:$G$49,,0)</f>
        <v>3.8720499999999998</v>
      </c>
      <c r="Q947" s="13">
        <f t="shared" si="71"/>
        <v>15.488199999999999</v>
      </c>
      <c r="R947" t="str">
        <f t="shared" si="73"/>
        <v>Liberica</v>
      </c>
      <c r="S947" t="str">
        <f t="shared" si="74"/>
        <v>Dark</v>
      </c>
      <c r="T947" t="str">
        <f>_xlfn.XLOOKUP(Orders[[#This Row],[Customer ID]],customers!$A$1:$A$1001,customers!$I$1:$I$1001,,0)</f>
        <v>No</v>
      </c>
    </row>
    <row r="948" spans="1:20" x14ac:dyDescent="0.35">
      <c r="A948" s="2" t="s">
        <v>5839</v>
      </c>
      <c r="B948" s="3">
        <v>43719</v>
      </c>
      <c r="C948" s="2" t="s">
        <v>5840</v>
      </c>
      <c r="D948" t="s">
        <v>6169</v>
      </c>
      <c r="E948" t="str">
        <f t="shared" si="72"/>
        <v>Liberica-Dark-0.5</v>
      </c>
      <c r="F948" s="2">
        <v>3</v>
      </c>
      <c r="G948" s="2" t="str" cm="1">
        <f t="array" ref="G948">_xlfn.XLOOKUP(C948, customers!$A$1:A1947,customers!$B$1:B1947,,0)</f>
        <v>Edeline Edney</v>
      </c>
      <c r="H948" s="2" t="str" cm="1">
        <f t="array" ref="H948">IF(_xlfn.XLOOKUP(C948,customers!$A$1:A1947,customers!$C$1:C1947,,0) = 0,"", _xlfn.XLOOKUP(C948,customers!$A$1:A1947,customers!$C$1:C1947,,0))</f>
        <v/>
      </c>
      <c r="I948" s="2" t="str">
        <f>_xlfn.XLOOKUP(C948,customers!$A$1:$A$1001,customers!$G$1:$G$1001,,0)</f>
        <v>United States</v>
      </c>
      <c r="J948" s="2" t="str">
        <f>_xlfn.XLOOKUP(Orders[[#This Row],[Customer ID]],customers!$A$1:$A$1001,customers!$F$1:$F$1001,,0)</f>
        <v>Birmingham</v>
      </c>
      <c r="K948" t="str">
        <f>INDEX(products!$A$1:$G$49,MATCH(orders!$D948,products!$A$1:$A$49,0),MATCH(orders!K$1,products!$A$1:$G$1,0))</f>
        <v>Lib</v>
      </c>
      <c r="L948" t="str">
        <f>INDEX(products!$A$1:$G$49,MATCH(orders!$D948,products!$A$1:$A$49,0),MATCH(orders!L$1,products!$A$1:$G$1,0))</f>
        <v>D</v>
      </c>
      <c r="M948" s="14">
        <f>INDEX(products!$A$1:$G$49,MATCH(orders!$D948,products!$A$1:$A$49,0),MATCH(orders!M$1,products!$A$1:$G$1,0))</f>
        <v>0.5</v>
      </c>
      <c r="N948" s="4">
        <f>INDEX(products!$A$1:$G$49,MATCH(orders!$D948,products!$A$1:$A$49,0),MATCH(orders!N$1,products!$A$1:$G$1,0))</f>
        <v>7.77</v>
      </c>
      <c r="O948" s="13">
        <f t="shared" si="70"/>
        <v>23.31</v>
      </c>
      <c r="P948" s="13">
        <f>_xlfn.XLOOKUP(Orders[[#This Row],[Product ID]],products!$A$1:$A$49,products!$G$1:$G$49,,0)</f>
        <v>1.0101</v>
      </c>
      <c r="Q948" s="13">
        <f t="shared" si="71"/>
        <v>3.0303</v>
      </c>
      <c r="R948" t="str">
        <f t="shared" si="73"/>
        <v>Liberica</v>
      </c>
      <c r="S948" t="str">
        <f t="shared" si="74"/>
        <v>Dark</v>
      </c>
      <c r="T948" t="str">
        <f>_xlfn.XLOOKUP(Orders[[#This Row],[Customer ID]],customers!$A$1:$A$1001,customers!$I$1:$I$1001,,0)</f>
        <v>No</v>
      </c>
    </row>
    <row r="949" spans="1:20" x14ac:dyDescent="0.35">
      <c r="A949" s="2" t="s">
        <v>5844</v>
      </c>
      <c r="B949" s="3">
        <v>44294</v>
      </c>
      <c r="C949" s="2" t="s">
        <v>5845</v>
      </c>
      <c r="D949" t="s">
        <v>6155</v>
      </c>
      <c r="E949" t="str">
        <f t="shared" si="72"/>
        <v>Arabica-Medium-1</v>
      </c>
      <c r="F949" s="2">
        <v>1</v>
      </c>
      <c r="G949" s="2" t="str" cm="1">
        <f t="array" ref="G949">_xlfn.XLOOKUP(C949, customers!$A$1:A1948,customers!$B$1:B1948,,0)</f>
        <v>Rickie Faltin</v>
      </c>
      <c r="H949" s="2" t="str" cm="1">
        <f t="array" ref="H949">IF(_xlfn.XLOOKUP(C949,customers!$A$1:A1948,customers!$C$1:C1948,,0) = 0,"", _xlfn.XLOOKUP(C949,customers!$A$1:A1948,customers!$C$1:C1948,,0))</f>
        <v>rfaltinqb@topsy.com</v>
      </c>
      <c r="I949" s="2" t="str">
        <f>_xlfn.XLOOKUP(C949,customers!$A$1:$A$1001,customers!$G$1:$G$1001,,0)</f>
        <v>Ireland</v>
      </c>
      <c r="J949" s="2" t="str">
        <f>_xlfn.XLOOKUP(Orders[[#This Row],[Customer ID]],customers!$A$1:$A$1001,customers!$F$1:$F$1001,,0)</f>
        <v>Portumna</v>
      </c>
      <c r="K949" t="str">
        <f>INDEX(products!$A$1:$G$49,MATCH(orders!$D949,products!$A$1:$A$49,0),MATCH(orders!K$1,products!$A$1:$G$1,0))</f>
        <v>Ara</v>
      </c>
      <c r="L949" t="str">
        <f>INDEX(products!$A$1:$G$49,MATCH(orders!$D949,products!$A$1:$A$49,0),MATCH(orders!L$1,products!$A$1:$G$1,0))</f>
        <v>M</v>
      </c>
      <c r="M949" s="14">
        <f>INDEX(products!$A$1:$G$49,MATCH(orders!$D949,products!$A$1:$A$49,0),MATCH(orders!M$1,products!$A$1:$G$1,0))</f>
        <v>1</v>
      </c>
      <c r="N949" s="4">
        <f>INDEX(products!$A$1:$G$49,MATCH(orders!$D949,products!$A$1:$A$49,0),MATCH(orders!N$1,products!$A$1:$G$1,0))</f>
        <v>11.25</v>
      </c>
      <c r="O949" s="13">
        <f t="shared" si="70"/>
        <v>11.25</v>
      </c>
      <c r="P949" s="13">
        <f>_xlfn.XLOOKUP(Orders[[#This Row],[Product ID]],products!$A$1:$A$49,products!$G$1:$G$49,,0)</f>
        <v>1.0125</v>
      </c>
      <c r="Q949" s="13">
        <f t="shared" si="71"/>
        <v>1.0125</v>
      </c>
      <c r="R949" t="str">
        <f t="shared" si="73"/>
        <v>Arabica</v>
      </c>
      <c r="S949" t="str">
        <f t="shared" si="74"/>
        <v>Medium</v>
      </c>
      <c r="T949" t="str">
        <f>_xlfn.XLOOKUP(Orders[[#This Row],[Customer ID]],customers!$A$1:$A$1001,customers!$I$1:$I$1001,,0)</f>
        <v>No</v>
      </c>
    </row>
    <row r="950" spans="1:20" x14ac:dyDescent="0.35">
      <c r="A950" s="2" t="s">
        <v>5849</v>
      </c>
      <c r="B950" s="3">
        <v>44445</v>
      </c>
      <c r="C950" s="2" t="s">
        <v>5850</v>
      </c>
      <c r="D950" t="s">
        <v>6185</v>
      </c>
      <c r="E950" t="str">
        <f t="shared" si="72"/>
        <v>Excelsa-Dark-2.5</v>
      </c>
      <c r="F950" s="2">
        <v>3</v>
      </c>
      <c r="G950" s="2" t="str" cm="1">
        <f t="array" ref="G950">_xlfn.XLOOKUP(C950, customers!$A$1:A1949,customers!$B$1:B1949,,0)</f>
        <v>Gnni Cheeke</v>
      </c>
      <c r="H950" s="2" t="str" cm="1">
        <f t="array" ref="H950">IF(_xlfn.XLOOKUP(C950,customers!$A$1:A1949,customers!$C$1:C1949,,0) = 0,"", _xlfn.XLOOKUP(C950,customers!$A$1:A1949,customers!$C$1:C1949,,0))</f>
        <v>gcheekeqc@sitemeter.com</v>
      </c>
      <c r="I950" s="2" t="str">
        <f>_xlfn.XLOOKUP(C950,customers!$A$1:$A$1001,customers!$G$1:$G$1001,,0)</f>
        <v>United Kingdom</v>
      </c>
      <c r="J950" s="2" t="str">
        <f>_xlfn.XLOOKUP(Orders[[#This Row],[Customer ID]],customers!$A$1:$A$1001,customers!$F$1:$F$1001,,0)</f>
        <v>London</v>
      </c>
      <c r="K950" t="str">
        <f>INDEX(products!$A$1:$G$49,MATCH(orders!$D950,products!$A$1:$A$49,0),MATCH(orders!K$1,products!$A$1:$G$1,0))</f>
        <v>Exc</v>
      </c>
      <c r="L950" t="str">
        <f>INDEX(products!$A$1:$G$49,MATCH(orders!$D950,products!$A$1:$A$49,0),MATCH(orders!L$1,products!$A$1:$G$1,0))</f>
        <v>D</v>
      </c>
      <c r="M950" s="14">
        <f>INDEX(products!$A$1:$G$49,MATCH(orders!$D950,products!$A$1:$A$49,0),MATCH(orders!M$1,products!$A$1:$G$1,0))</f>
        <v>2.5</v>
      </c>
      <c r="N950" s="4">
        <f>INDEX(products!$A$1:$G$49,MATCH(orders!$D950,products!$A$1:$A$49,0),MATCH(orders!N$1,products!$A$1:$G$1,0))</f>
        <v>27.945</v>
      </c>
      <c r="O950" s="13">
        <f t="shared" si="70"/>
        <v>83.835000000000008</v>
      </c>
      <c r="P950" s="13">
        <f>_xlfn.XLOOKUP(Orders[[#This Row],[Product ID]],products!$A$1:$A$49,products!$G$1:$G$49,,0)</f>
        <v>3.07395</v>
      </c>
      <c r="Q950" s="13">
        <f t="shared" si="71"/>
        <v>9.2218499999999999</v>
      </c>
      <c r="R950" t="str">
        <f t="shared" si="73"/>
        <v>Execelsa</v>
      </c>
      <c r="S950" t="str">
        <f t="shared" si="74"/>
        <v>Dark</v>
      </c>
      <c r="T950" t="str">
        <f>_xlfn.XLOOKUP(Orders[[#This Row],[Customer ID]],customers!$A$1:$A$1001,customers!$I$1:$I$1001,,0)</f>
        <v>Yes</v>
      </c>
    </row>
    <row r="951" spans="1:20" x14ac:dyDescent="0.35">
      <c r="A951" s="2" t="s">
        <v>5855</v>
      </c>
      <c r="B951" s="3">
        <v>44449</v>
      </c>
      <c r="C951" s="2" t="s">
        <v>5856</v>
      </c>
      <c r="D951" t="s">
        <v>6142</v>
      </c>
      <c r="E951" t="str">
        <f t="shared" si="72"/>
        <v>Robusta-Light-2.5</v>
      </c>
      <c r="F951" s="2">
        <v>4</v>
      </c>
      <c r="G951" s="2" t="str" cm="1">
        <f t="array" ref="G951">_xlfn.XLOOKUP(C951, customers!$A$1:A1950,customers!$B$1:B1950,,0)</f>
        <v>Gwenni Ratt</v>
      </c>
      <c r="H951" s="2" t="str" cm="1">
        <f t="array" ref="H951">IF(_xlfn.XLOOKUP(C951,customers!$A$1:A1950,customers!$C$1:C1950,,0) = 0,"", _xlfn.XLOOKUP(C951,customers!$A$1:A1950,customers!$C$1:C1950,,0))</f>
        <v>grattqd@phpbb.com</v>
      </c>
      <c r="I951" s="2" t="str">
        <f>_xlfn.XLOOKUP(C951,customers!$A$1:$A$1001,customers!$G$1:$G$1001,,0)</f>
        <v>Ireland</v>
      </c>
      <c r="J951" s="2" t="str">
        <f>_xlfn.XLOOKUP(Orders[[#This Row],[Customer ID]],customers!$A$1:$A$1001,customers!$F$1:$F$1001,,0)</f>
        <v>Castlemartyr</v>
      </c>
      <c r="K951" t="str">
        <f>INDEX(products!$A$1:$G$49,MATCH(orders!$D951,products!$A$1:$A$49,0),MATCH(orders!K$1,products!$A$1:$G$1,0))</f>
        <v>Rob</v>
      </c>
      <c r="L951" t="str">
        <f>INDEX(products!$A$1:$G$49,MATCH(orders!$D951,products!$A$1:$A$49,0),MATCH(orders!L$1,products!$A$1:$G$1,0))</f>
        <v>L</v>
      </c>
      <c r="M951" s="14">
        <f>INDEX(products!$A$1:$G$49,MATCH(orders!$D951,products!$A$1:$A$49,0),MATCH(orders!M$1,products!$A$1:$G$1,0))</f>
        <v>2.5</v>
      </c>
      <c r="N951" s="4">
        <f>INDEX(products!$A$1:$G$49,MATCH(orders!$D951,products!$A$1:$A$49,0),MATCH(orders!N$1,products!$A$1:$G$1,0))</f>
        <v>27.484999999999996</v>
      </c>
      <c r="O951" s="13">
        <f t="shared" si="70"/>
        <v>109.93999999999998</v>
      </c>
      <c r="P951" s="13">
        <f>_xlfn.XLOOKUP(Orders[[#This Row],[Product ID]],products!$A$1:$A$49,products!$G$1:$G$49,,0)</f>
        <v>1.6490999999999998</v>
      </c>
      <c r="Q951" s="13">
        <f t="shared" si="71"/>
        <v>6.5963999999999992</v>
      </c>
      <c r="R951" t="str">
        <f t="shared" si="73"/>
        <v>Robusta</v>
      </c>
      <c r="S951" t="str">
        <f t="shared" si="74"/>
        <v>Light</v>
      </c>
      <c r="T951" t="str">
        <f>_xlfn.XLOOKUP(Orders[[#This Row],[Customer ID]],customers!$A$1:$A$1001,customers!$I$1:$I$1001,,0)</f>
        <v>No</v>
      </c>
    </row>
    <row r="952" spans="1:20" x14ac:dyDescent="0.35">
      <c r="A952" s="2" t="s">
        <v>5861</v>
      </c>
      <c r="B952" s="3">
        <v>44703</v>
      </c>
      <c r="C952" s="2" t="s">
        <v>5862</v>
      </c>
      <c r="D952" t="s">
        <v>6178</v>
      </c>
      <c r="E952" t="str">
        <f t="shared" si="72"/>
        <v>Robusta-Light-0.2</v>
      </c>
      <c r="F952" s="2">
        <v>4</v>
      </c>
      <c r="G952" s="2" t="str" cm="1">
        <f t="array" ref="G952">_xlfn.XLOOKUP(C952, customers!$A$1:A1951,customers!$B$1:B1951,,0)</f>
        <v>Johnath Fairebrother</v>
      </c>
      <c r="H952" s="2" t="str" cm="1">
        <f t="array" ref="H952">IF(_xlfn.XLOOKUP(C952,customers!$A$1:A1951,customers!$C$1:C1951,,0) = 0,"", _xlfn.XLOOKUP(C952,customers!$A$1:A1951,customers!$C$1:C1951,,0))</f>
        <v/>
      </c>
      <c r="I952" s="2" t="str">
        <f>_xlfn.XLOOKUP(C952,customers!$A$1:$A$1001,customers!$G$1:$G$1001,,0)</f>
        <v>United States</v>
      </c>
      <c r="J952" s="2" t="str">
        <f>_xlfn.XLOOKUP(Orders[[#This Row],[Customer ID]],customers!$A$1:$A$1001,customers!$F$1:$F$1001,,0)</f>
        <v>Wilmington</v>
      </c>
      <c r="K952" t="str">
        <f>INDEX(products!$A$1:$G$49,MATCH(orders!$D952,products!$A$1:$A$49,0),MATCH(orders!K$1,products!$A$1:$G$1,0))</f>
        <v>Rob</v>
      </c>
      <c r="L952" t="str">
        <f>INDEX(products!$A$1:$G$49,MATCH(orders!$D952,products!$A$1:$A$49,0),MATCH(orders!L$1,products!$A$1:$G$1,0))</f>
        <v>L</v>
      </c>
      <c r="M952" s="14">
        <f>INDEX(products!$A$1:$G$49,MATCH(orders!$D952,products!$A$1:$A$49,0),MATCH(orders!M$1,products!$A$1:$G$1,0))</f>
        <v>0.2</v>
      </c>
      <c r="N952" s="4">
        <f>INDEX(products!$A$1:$G$49,MATCH(orders!$D952,products!$A$1:$A$49,0),MATCH(orders!N$1,products!$A$1:$G$1,0))</f>
        <v>3.5849999999999995</v>
      </c>
      <c r="O952" s="13">
        <f t="shared" si="70"/>
        <v>14.339999999999998</v>
      </c>
      <c r="P952" s="13">
        <f>_xlfn.XLOOKUP(Orders[[#This Row],[Product ID]],products!$A$1:$A$49,products!$G$1:$G$49,,0)</f>
        <v>0.21509999999999996</v>
      </c>
      <c r="Q952" s="13">
        <f t="shared" si="71"/>
        <v>0.86039999999999983</v>
      </c>
      <c r="R952" t="str">
        <f t="shared" si="73"/>
        <v>Robusta</v>
      </c>
      <c r="S952" t="str">
        <f t="shared" si="74"/>
        <v>Light</v>
      </c>
      <c r="T952" t="str">
        <f>_xlfn.XLOOKUP(Orders[[#This Row],[Customer ID]],customers!$A$1:$A$1001,customers!$I$1:$I$1001,,0)</f>
        <v>Yes</v>
      </c>
    </row>
    <row r="953" spans="1:20" x14ac:dyDescent="0.35">
      <c r="A953" s="2" t="s">
        <v>5866</v>
      </c>
      <c r="B953" s="3">
        <v>44092</v>
      </c>
      <c r="C953" s="2" t="s">
        <v>5867</v>
      </c>
      <c r="D953" t="s">
        <v>6178</v>
      </c>
      <c r="E953" t="str">
        <f t="shared" si="72"/>
        <v>Robusta-Light-0.2</v>
      </c>
      <c r="F953" s="2">
        <v>6</v>
      </c>
      <c r="G953" s="2" t="str" cm="1">
        <f t="array" ref="G953">_xlfn.XLOOKUP(C953, customers!$A$1:A1952,customers!$B$1:B1952,,0)</f>
        <v>Ingamar Eberlein</v>
      </c>
      <c r="H953" s="2" t="str" cm="1">
        <f t="array" ref="H953">IF(_xlfn.XLOOKUP(C953,customers!$A$1:A1952,customers!$C$1:C1952,,0) = 0,"", _xlfn.XLOOKUP(C953,customers!$A$1:A1952,customers!$C$1:C1952,,0))</f>
        <v>ieberleinqf@hc360.com</v>
      </c>
      <c r="I953" s="2" t="str">
        <f>_xlfn.XLOOKUP(C953,customers!$A$1:$A$1001,customers!$G$1:$G$1001,,0)</f>
        <v>United States</v>
      </c>
      <c r="J953" s="2" t="str">
        <f>_xlfn.XLOOKUP(Orders[[#This Row],[Customer ID]],customers!$A$1:$A$1001,customers!$F$1:$F$1001,,0)</f>
        <v>Harrisburg</v>
      </c>
      <c r="K953" t="str">
        <f>INDEX(products!$A$1:$G$49,MATCH(orders!$D953,products!$A$1:$A$49,0),MATCH(orders!K$1,products!$A$1:$G$1,0))</f>
        <v>Rob</v>
      </c>
      <c r="L953" t="str">
        <f>INDEX(products!$A$1:$G$49,MATCH(orders!$D953,products!$A$1:$A$49,0),MATCH(orders!L$1,products!$A$1:$G$1,0))</f>
        <v>L</v>
      </c>
      <c r="M953" s="14">
        <f>INDEX(products!$A$1:$G$49,MATCH(orders!$D953,products!$A$1:$A$49,0),MATCH(orders!M$1,products!$A$1:$G$1,0))</f>
        <v>0.2</v>
      </c>
      <c r="N953" s="4">
        <f>INDEX(products!$A$1:$G$49,MATCH(orders!$D953,products!$A$1:$A$49,0),MATCH(orders!N$1,products!$A$1:$G$1,0))</f>
        <v>3.5849999999999995</v>
      </c>
      <c r="O953" s="13">
        <f t="shared" si="70"/>
        <v>21.509999999999998</v>
      </c>
      <c r="P953" s="13">
        <f>_xlfn.XLOOKUP(Orders[[#This Row],[Product ID]],products!$A$1:$A$49,products!$G$1:$G$49,,0)</f>
        <v>0.21509999999999996</v>
      </c>
      <c r="Q953" s="13">
        <f t="shared" si="71"/>
        <v>1.2905999999999997</v>
      </c>
      <c r="R953" t="str">
        <f t="shared" si="73"/>
        <v>Robusta</v>
      </c>
      <c r="S953" t="str">
        <f t="shared" si="74"/>
        <v>Light</v>
      </c>
      <c r="T953" t="str">
        <f>_xlfn.XLOOKUP(Orders[[#This Row],[Customer ID]],customers!$A$1:$A$1001,customers!$I$1:$I$1001,,0)</f>
        <v>No</v>
      </c>
    </row>
    <row r="954" spans="1:20" x14ac:dyDescent="0.35">
      <c r="A954" s="2" t="s">
        <v>5872</v>
      </c>
      <c r="B954" s="3">
        <v>44439</v>
      </c>
      <c r="C954" s="2" t="s">
        <v>5873</v>
      </c>
      <c r="D954" t="s">
        <v>6155</v>
      </c>
      <c r="E954" t="str">
        <f t="shared" si="72"/>
        <v>Arabica-Medium-1</v>
      </c>
      <c r="F954" s="2">
        <v>2</v>
      </c>
      <c r="G954" s="2" t="str" cm="1">
        <f t="array" ref="G954">_xlfn.XLOOKUP(C954, customers!$A$1:A1953,customers!$B$1:B1953,,0)</f>
        <v>Jilly Dreng</v>
      </c>
      <c r="H954" s="2" t="str" cm="1">
        <f t="array" ref="H954">IF(_xlfn.XLOOKUP(C954,customers!$A$1:A1953,customers!$C$1:C1953,,0) = 0,"", _xlfn.XLOOKUP(C954,customers!$A$1:A1953,customers!$C$1:C1953,,0))</f>
        <v>jdrengqg@uiuc.edu</v>
      </c>
      <c r="I954" s="2" t="str">
        <f>_xlfn.XLOOKUP(C954,customers!$A$1:$A$1001,customers!$G$1:$G$1001,,0)</f>
        <v>Ireland</v>
      </c>
      <c r="J954" s="2" t="str">
        <f>_xlfn.XLOOKUP(Orders[[#This Row],[Customer ID]],customers!$A$1:$A$1001,customers!$F$1:$F$1001,,0)</f>
        <v>Sallins</v>
      </c>
      <c r="K954" t="str">
        <f>INDEX(products!$A$1:$G$49,MATCH(orders!$D954,products!$A$1:$A$49,0),MATCH(orders!K$1,products!$A$1:$G$1,0))</f>
        <v>Ara</v>
      </c>
      <c r="L954" t="str">
        <f>INDEX(products!$A$1:$G$49,MATCH(orders!$D954,products!$A$1:$A$49,0),MATCH(orders!L$1,products!$A$1:$G$1,0))</f>
        <v>M</v>
      </c>
      <c r="M954" s="14">
        <f>INDEX(products!$A$1:$G$49,MATCH(orders!$D954,products!$A$1:$A$49,0),MATCH(orders!M$1,products!$A$1:$G$1,0))</f>
        <v>1</v>
      </c>
      <c r="N954" s="4">
        <f>INDEX(products!$A$1:$G$49,MATCH(orders!$D954,products!$A$1:$A$49,0),MATCH(orders!N$1,products!$A$1:$G$1,0))</f>
        <v>11.25</v>
      </c>
      <c r="O954" s="13">
        <f t="shared" si="70"/>
        <v>22.5</v>
      </c>
      <c r="P954" s="13">
        <f>_xlfn.XLOOKUP(Orders[[#This Row],[Product ID]],products!$A$1:$A$49,products!$G$1:$G$49,,0)</f>
        <v>1.0125</v>
      </c>
      <c r="Q954" s="13">
        <f t="shared" si="71"/>
        <v>2.0249999999999999</v>
      </c>
      <c r="R954" t="str">
        <f t="shared" si="73"/>
        <v>Arabica</v>
      </c>
      <c r="S954" t="str">
        <f t="shared" si="74"/>
        <v>Medium</v>
      </c>
      <c r="T954" t="str">
        <f>_xlfn.XLOOKUP(Orders[[#This Row],[Customer ID]],customers!$A$1:$A$1001,customers!$I$1:$I$1001,,0)</f>
        <v>Yes</v>
      </c>
    </row>
    <row r="955" spans="1:20" x14ac:dyDescent="0.35">
      <c r="A955" s="2" t="s">
        <v>5878</v>
      </c>
      <c r="B955" s="3">
        <v>44582</v>
      </c>
      <c r="C955" s="2" t="s">
        <v>5764</v>
      </c>
      <c r="D955" t="s">
        <v>6167</v>
      </c>
      <c r="E955" t="str">
        <f t="shared" si="72"/>
        <v>Arabica-Light-0.2</v>
      </c>
      <c r="F955" s="2">
        <v>1</v>
      </c>
      <c r="G955" s="2" t="str" cm="1">
        <f t="array" ref="G955">_xlfn.XLOOKUP(C955, customers!$A$1:A1954,customers!$B$1:B1954,,0)</f>
        <v>Brenn Dundredge</v>
      </c>
      <c r="H955" s="2" t="str" cm="1">
        <f t="array" ref="H955">IF(_xlfn.XLOOKUP(C955,customers!$A$1:A1954,customers!$C$1:C1954,,0) = 0,"", _xlfn.XLOOKUP(C955,customers!$A$1:A1954,customers!$C$1:C1954,,0))</f>
        <v/>
      </c>
      <c r="I955" s="2" t="str">
        <f>_xlfn.XLOOKUP(C955,customers!$A$1:$A$1001,customers!$G$1:$G$1001,,0)</f>
        <v>United States</v>
      </c>
      <c r="J955" s="2" t="str">
        <f>_xlfn.XLOOKUP(Orders[[#This Row],[Customer ID]],customers!$A$1:$A$1001,customers!$F$1:$F$1001,,0)</f>
        <v>Oklahoma City</v>
      </c>
      <c r="K955" t="str">
        <f>INDEX(products!$A$1:$G$49,MATCH(orders!$D955,products!$A$1:$A$49,0),MATCH(orders!K$1,products!$A$1:$G$1,0))</f>
        <v>Ara</v>
      </c>
      <c r="L955" t="str">
        <f>INDEX(products!$A$1:$G$49,MATCH(orders!$D955,products!$A$1:$A$49,0),MATCH(orders!L$1,products!$A$1:$G$1,0))</f>
        <v>L</v>
      </c>
      <c r="M955" s="14">
        <f>INDEX(products!$A$1:$G$49,MATCH(orders!$D955,products!$A$1:$A$49,0),MATCH(orders!M$1,products!$A$1:$G$1,0))</f>
        <v>0.2</v>
      </c>
      <c r="N955" s="4">
        <f>INDEX(products!$A$1:$G$49,MATCH(orders!$D955,products!$A$1:$A$49,0),MATCH(orders!N$1,products!$A$1:$G$1,0))</f>
        <v>3.8849999999999998</v>
      </c>
      <c r="O955" s="13">
        <f t="shared" si="70"/>
        <v>3.8849999999999998</v>
      </c>
      <c r="P955" s="13">
        <f>_xlfn.XLOOKUP(Orders[[#This Row],[Product ID]],products!$A$1:$A$49,products!$G$1:$G$49,,0)</f>
        <v>0.34964999999999996</v>
      </c>
      <c r="Q955" s="13">
        <f t="shared" si="71"/>
        <v>0.34964999999999996</v>
      </c>
      <c r="R955" t="str">
        <f t="shared" si="73"/>
        <v>Arabica</v>
      </c>
      <c r="S955" t="str">
        <f t="shared" si="74"/>
        <v>Light</v>
      </c>
      <c r="T955" t="str">
        <f>_xlfn.XLOOKUP(Orders[[#This Row],[Customer ID]],customers!$A$1:$A$1001,customers!$I$1:$I$1001,,0)</f>
        <v>Yes</v>
      </c>
    </row>
    <row r="956" spans="1:20" x14ac:dyDescent="0.35">
      <c r="A956" s="2" t="s">
        <v>5884</v>
      </c>
      <c r="B956" s="3">
        <v>44722</v>
      </c>
      <c r="C956" s="2" t="s">
        <v>5764</v>
      </c>
      <c r="D956" t="s">
        <v>6185</v>
      </c>
      <c r="E956" t="str">
        <f t="shared" si="72"/>
        <v>Excelsa-Dark-2.5</v>
      </c>
      <c r="F956" s="2">
        <v>1</v>
      </c>
      <c r="G956" s="2" t="str" cm="1">
        <f t="array" ref="G956">_xlfn.XLOOKUP(C956, customers!$A$1:A1955,customers!$B$1:B1955,,0)</f>
        <v>Brenn Dundredge</v>
      </c>
      <c r="H956" s="2" t="str" cm="1">
        <f t="array" ref="H956">IF(_xlfn.XLOOKUP(C956,customers!$A$1:A1955,customers!$C$1:C1955,,0) = 0,"", _xlfn.XLOOKUP(C956,customers!$A$1:A1955,customers!$C$1:C1955,,0))</f>
        <v/>
      </c>
      <c r="I956" s="2" t="str">
        <f>_xlfn.XLOOKUP(C956,customers!$A$1:$A$1001,customers!$G$1:$G$1001,,0)</f>
        <v>United States</v>
      </c>
      <c r="J956" s="2" t="str">
        <f>_xlfn.XLOOKUP(Orders[[#This Row],[Customer ID]],customers!$A$1:$A$1001,customers!$F$1:$F$1001,,0)</f>
        <v>Oklahoma City</v>
      </c>
      <c r="K956" t="str">
        <f>INDEX(products!$A$1:$G$49,MATCH(orders!$D956,products!$A$1:$A$49,0),MATCH(orders!K$1,products!$A$1:$G$1,0))</f>
        <v>Exc</v>
      </c>
      <c r="L956" t="str">
        <f>INDEX(products!$A$1:$G$49,MATCH(orders!$D956,products!$A$1:$A$49,0),MATCH(orders!L$1,products!$A$1:$G$1,0))</f>
        <v>D</v>
      </c>
      <c r="M956" s="14">
        <f>INDEX(products!$A$1:$G$49,MATCH(orders!$D956,products!$A$1:$A$49,0),MATCH(orders!M$1,products!$A$1:$G$1,0))</f>
        <v>2.5</v>
      </c>
      <c r="N956" s="4">
        <f>INDEX(products!$A$1:$G$49,MATCH(orders!$D956,products!$A$1:$A$49,0),MATCH(orders!N$1,products!$A$1:$G$1,0))</f>
        <v>27.945</v>
      </c>
      <c r="O956" s="13">
        <f t="shared" si="70"/>
        <v>27.945</v>
      </c>
      <c r="P956" s="13">
        <f>_xlfn.XLOOKUP(Orders[[#This Row],[Product ID]],products!$A$1:$A$49,products!$G$1:$G$49,,0)</f>
        <v>3.07395</v>
      </c>
      <c r="Q956" s="13">
        <f t="shared" si="71"/>
        <v>3.07395</v>
      </c>
      <c r="R956" t="str">
        <f t="shared" si="73"/>
        <v>Execelsa</v>
      </c>
      <c r="S956" t="str">
        <f t="shared" si="74"/>
        <v>Dark</v>
      </c>
      <c r="T956" t="str">
        <f>_xlfn.XLOOKUP(Orders[[#This Row],[Customer ID]],customers!$A$1:$A$1001,customers!$I$1:$I$1001,,0)</f>
        <v>Yes</v>
      </c>
    </row>
    <row r="957" spans="1:20" x14ac:dyDescent="0.35">
      <c r="A957" s="2" t="s">
        <v>5890</v>
      </c>
      <c r="B957" s="3">
        <v>43582</v>
      </c>
      <c r="C957" s="2" t="s">
        <v>5764</v>
      </c>
      <c r="D957" t="s">
        <v>6148</v>
      </c>
      <c r="E957" t="str">
        <f t="shared" si="72"/>
        <v>Excelsa-Light-2.5</v>
      </c>
      <c r="F957" s="2">
        <v>5</v>
      </c>
      <c r="G957" s="2" t="str" cm="1">
        <f t="array" ref="G957">_xlfn.XLOOKUP(C957, customers!$A$1:A1956,customers!$B$1:B1956,,0)</f>
        <v>Brenn Dundredge</v>
      </c>
      <c r="H957" s="2" t="str" cm="1">
        <f t="array" ref="H957">IF(_xlfn.XLOOKUP(C957,customers!$A$1:A1956,customers!$C$1:C1956,,0) = 0,"", _xlfn.XLOOKUP(C957,customers!$A$1:A1956,customers!$C$1:C1956,,0))</f>
        <v/>
      </c>
      <c r="I957" s="2" t="str">
        <f>_xlfn.XLOOKUP(C957,customers!$A$1:$A$1001,customers!$G$1:$G$1001,,0)</f>
        <v>United States</v>
      </c>
      <c r="J957" s="2" t="str">
        <f>_xlfn.XLOOKUP(Orders[[#This Row],[Customer ID]],customers!$A$1:$A$1001,customers!$F$1:$F$1001,,0)</f>
        <v>Oklahoma City</v>
      </c>
      <c r="K957" t="str">
        <f>INDEX(products!$A$1:$G$49,MATCH(orders!$D957,products!$A$1:$A$49,0),MATCH(orders!K$1,products!$A$1:$G$1,0))</f>
        <v>Exc</v>
      </c>
      <c r="L957" t="str">
        <f>INDEX(products!$A$1:$G$49,MATCH(orders!$D957,products!$A$1:$A$49,0),MATCH(orders!L$1,products!$A$1:$G$1,0))</f>
        <v>L</v>
      </c>
      <c r="M957" s="14">
        <f>INDEX(products!$A$1:$G$49,MATCH(orders!$D957,products!$A$1:$A$49,0),MATCH(orders!M$1,products!$A$1:$G$1,0))</f>
        <v>2.5</v>
      </c>
      <c r="N957" s="4">
        <f>INDEX(products!$A$1:$G$49,MATCH(orders!$D957,products!$A$1:$A$49,0),MATCH(orders!N$1,products!$A$1:$G$1,0))</f>
        <v>34.154999999999994</v>
      </c>
      <c r="O957" s="13">
        <f t="shared" si="70"/>
        <v>170.77499999999998</v>
      </c>
      <c r="P957" s="13">
        <f>_xlfn.XLOOKUP(Orders[[#This Row],[Product ID]],products!$A$1:$A$49,products!$G$1:$G$49,,0)</f>
        <v>3.7570499999999996</v>
      </c>
      <c r="Q957" s="13">
        <f t="shared" si="71"/>
        <v>18.785249999999998</v>
      </c>
      <c r="R957" t="str">
        <f t="shared" si="73"/>
        <v>Execelsa</v>
      </c>
      <c r="S957" t="str">
        <f t="shared" si="74"/>
        <v>Light</v>
      </c>
      <c r="T957" t="str">
        <f>_xlfn.XLOOKUP(Orders[[#This Row],[Customer ID]],customers!$A$1:$A$1001,customers!$I$1:$I$1001,,0)</f>
        <v>Yes</v>
      </c>
    </row>
    <row r="958" spans="1:20" x14ac:dyDescent="0.35">
      <c r="A958" s="2" t="s">
        <v>5890</v>
      </c>
      <c r="B958" s="3">
        <v>43582</v>
      </c>
      <c r="C958" s="2" t="s">
        <v>5764</v>
      </c>
      <c r="D958" t="s">
        <v>6142</v>
      </c>
      <c r="E958" t="str">
        <f t="shared" si="72"/>
        <v>Robusta-Light-2.5</v>
      </c>
      <c r="F958" s="2">
        <v>2</v>
      </c>
      <c r="G958" s="2" t="str" cm="1">
        <f t="array" ref="G958">_xlfn.XLOOKUP(C958, customers!$A$1:A1957,customers!$B$1:B1957,,0)</f>
        <v>Brenn Dundredge</v>
      </c>
      <c r="H958" s="2" t="str" cm="1">
        <f t="array" ref="H958">IF(_xlfn.XLOOKUP(C958,customers!$A$1:A1957,customers!$C$1:C1957,,0) = 0,"", _xlfn.XLOOKUP(C958,customers!$A$1:A1957,customers!$C$1:C1957,,0))</f>
        <v/>
      </c>
      <c r="I958" s="2" t="str">
        <f>_xlfn.XLOOKUP(C958,customers!$A$1:$A$1001,customers!$G$1:$G$1001,,0)</f>
        <v>United States</v>
      </c>
      <c r="J958" s="2" t="str">
        <f>_xlfn.XLOOKUP(Orders[[#This Row],[Customer ID]],customers!$A$1:$A$1001,customers!$F$1:$F$1001,,0)</f>
        <v>Oklahoma City</v>
      </c>
      <c r="K958" t="str">
        <f>INDEX(products!$A$1:$G$49,MATCH(orders!$D958,products!$A$1:$A$49,0),MATCH(orders!K$1,products!$A$1:$G$1,0))</f>
        <v>Rob</v>
      </c>
      <c r="L958" t="str">
        <f>INDEX(products!$A$1:$G$49,MATCH(orders!$D958,products!$A$1:$A$49,0),MATCH(orders!L$1,products!$A$1:$G$1,0))</f>
        <v>L</v>
      </c>
      <c r="M958" s="14">
        <f>INDEX(products!$A$1:$G$49,MATCH(orders!$D958,products!$A$1:$A$49,0),MATCH(orders!M$1,products!$A$1:$G$1,0))</f>
        <v>2.5</v>
      </c>
      <c r="N958" s="4">
        <f>INDEX(products!$A$1:$G$49,MATCH(orders!$D958,products!$A$1:$A$49,0),MATCH(orders!N$1,products!$A$1:$G$1,0))</f>
        <v>27.484999999999996</v>
      </c>
      <c r="O958" s="13">
        <f t="shared" si="70"/>
        <v>54.969999999999992</v>
      </c>
      <c r="P958" s="13">
        <f>_xlfn.XLOOKUP(Orders[[#This Row],[Product ID]],products!$A$1:$A$49,products!$G$1:$G$49,,0)</f>
        <v>1.6490999999999998</v>
      </c>
      <c r="Q958" s="13">
        <f t="shared" si="71"/>
        <v>3.2981999999999996</v>
      </c>
      <c r="R958" t="str">
        <f t="shared" si="73"/>
        <v>Robusta</v>
      </c>
      <c r="S958" t="str">
        <f t="shared" si="74"/>
        <v>Light</v>
      </c>
      <c r="T958" t="str">
        <f>_xlfn.XLOOKUP(Orders[[#This Row],[Customer ID]],customers!$A$1:$A$1001,customers!$I$1:$I$1001,,0)</f>
        <v>Yes</v>
      </c>
    </row>
    <row r="959" spans="1:20" x14ac:dyDescent="0.35">
      <c r="A959" s="2" t="s">
        <v>5890</v>
      </c>
      <c r="B959" s="3">
        <v>43582</v>
      </c>
      <c r="C959" s="2" t="s">
        <v>5764</v>
      </c>
      <c r="D959" t="s">
        <v>6171</v>
      </c>
      <c r="E959" t="str">
        <f t="shared" si="72"/>
        <v>Excelsa-Light-1</v>
      </c>
      <c r="F959" s="2">
        <v>1</v>
      </c>
      <c r="G959" s="2" t="str" cm="1">
        <f t="array" ref="G959">_xlfn.XLOOKUP(C959, customers!$A$1:A1958,customers!$B$1:B1958,,0)</f>
        <v>Brenn Dundredge</v>
      </c>
      <c r="H959" s="2" t="str" cm="1">
        <f t="array" ref="H959">IF(_xlfn.XLOOKUP(C959,customers!$A$1:A1958,customers!$C$1:C1958,,0) = 0,"", _xlfn.XLOOKUP(C959,customers!$A$1:A1958,customers!$C$1:C1958,,0))</f>
        <v/>
      </c>
      <c r="I959" s="2" t="str">
        <f>_xlfn.XLOOKUP(C959,customers!$A$1:$A$1001,customers!$G$1:$G$1001,,0)</f>
        <v>United States</v>
      </c>
      <c r="J959" s="2" t="str">
        <f>_xlfn.XLOOKUP(Orders[[#This Row],[Customer ID]],customers!$A$1:$A$1001,customers!$F$1:$F$1001,,0)</f>
        <v>Oklahoma City</v>
      </c>
      <c r="K959" t="str">
        <f>INDEX(products!$A$1:$G$49,MATCH(orders!$D959,products!$A$1:$A$49,0),MATCH(orders!K$1,products!$A$1:$G$1,0))</f>
        <v>Exc</v>
      </c>
      <c r="L959" t="str">
        <f>INDEX(products!$A$1:$G$49,MATCH(orders!$D959,products!$A$1:$A$49,0),MATCH(orders!L$1,products!$A$1:$G$1,0))</f>
        <v>L</v>
      </c>
      <c r="M959" s="14">
        <f>INDEX(products!$A$1:$G$49,MATCH(orders!$D959,products!$A$1:$A$49,0),MATCH(orders!M$1,products!$A$1:$G$1,0))</f>
        <v>1</v>
      </c>
      <c r="N959" s="4">
        <f>INDEX(products!$A$1:$G$49,MATCH(orders!$D959,products!$A$1:$A$49,0),MATCH(orders!N$1,products!$A$1:$G$1,0))</f>
        <v>14.85</v>
      </c>
      <c r="O959" s="13">
        <f t="shared" si="70"/>
        <v>14.85</v>
      </c>
      <c r="P959" s="13">
        <f>_xlfn.XLOOKUP(Orders[[#This Row],[Product ID]],products!$A$1:$A$49,products!$G$1:$G$49,,0)</f>
        <v>1.6335</v>
      </c>
      <c r="Q959" s="13">
        <f t="shared" si="71"/>
        <v>1.6335</v>
      </c>
      <c r="R959" t="str">
        <f t="shared" si="73"/>
        <v>Execelsa</v>
      </c>
      <c r="S959" t="str">
        <f t="shared" si="74"/>
        <v>Light</v>
      </c>
      <c r="T959" t="str">
        <f>_xlfn.XLOOKUP(Orders[[#This Row],[Customer ID]],customers!$A$1:$A$1001,customers!$I$1:$I$1001,,0)</f>
        <v>Yes</v>
      </c>
    </row>
    <row r="960" spans="1:20" x14ac:dyDescent="0.35">
      <c r="A960" s="2" t="s">
        <v>5890</v>
      </c>
      <c r="B960" s="3">
        <v>43582</v>
      </c>
      <c r="C960" s="2" t="s">
        <v>5764</v>
      </c>
      <c r="D960" t="s">
        <v>6167</v>
      </c>
      <c r="E960" t="str">
        <f t="shared" si="72"/>
        <v>Arabica-Light-0.2</v>
      </c>
      <c r="F960" s="2">
        <v>2</v>
      </c>
      <c r="G960" s="2" t="str" cm="1">
        <f t="array" ref="G960">_xlfn.XLOOKUP(C960, customers!$A$1:A1959,customers!$B$1:B1959,,0)</f>
        <v>Brenn Dundredge</v>
      </c>
      <c r="H960" s="2" t="str" cm="1">
        <f t="array" ref="H960">IF(_xlfn.XLOOKUP(C960,customers!$A$1:A1959,customers!$C$1:C1959,,0) = 0,"", _xlfn.XLOOKUP(C960,customers!$A$1:A1959,customers!$C$1:C1959,,0))</f>
        <v/>
      </c>
      <c r="I960" s="2" t="str">
        <f>_xlfn.XLOOKUP(C960,customers!$A$1:$A$1001,customers!$G$1:$G$1001,,0)</f>
        <v>United States</v>
      </c>
      <c r="J960" s="2" t="str">
        <f>_xlfn.XLOOKUP(Orders[[#This Row],[Customer ID]],customers!$A$1:$A$1001,customers!$F$1:$F$1001,,0)</f>
        <v>Oklahoma City</v>
      </c>
      <c r="K960" t="str">
        <f>INDEX(products!$A$1:$G$49,MATCH(orders!$D960,products!$A$1:$A$49,0),MATCH(orders!K$1,products!$A$1:$G$1,0))</f>
        <v>Ara</v>
      </c>
      <c r="L960" t="str">
        <f>INDEX(products!$A$1:$G$49,MATCH(orders!$D960,products!$A$1:$A$49,0),MATCH(orders!L$1,products!$A$1:$G$1,0))</f>
        <v>L</v>
      </c>
      <c r="M960" s="14">
        <f>INDEX(products!$A$1:$G$49,MATCH(orders!$D960,products!$A$1:$A$49,0),MATCH(orders!M$1,products!$A$1:$G$1,0))</f>
        <v>0.2</v>
      </c>
      <c r="N960" s="4">
        <f>INDEX(products!$A$1:$G$49,MATCH(orders!$D960,products!$A$1:$A$49,0),MATCH(orders!N$1,products!$A$1:$G$1,0))</f>
        <v>3.8849999999999998</v>
      </c>
      <c r="O960" s="13">
        <f t="shared" si="70"/>
        <v>7.77</v>
      </c>
      <c r="P960" s="13">
        <f>_xlfn.XLOOKUP(Orders[[#This Row],[Product ID]],products!$A$1:$A$49,products!$G$1:$G$49,,0)</f>
        <v>0.34964999999999996</v>
      </c>
      <c r="Q960" s="13">
        <f t="shared" si="71"/>
        <v>0.69929999999999992</v>
      </c>
      <c r="R960" t="str">
        <f t="shared" si="73"/>
        <v>Arabica</v>
      </c>
      <c r="S960" t="str">
        <f t="shared" si="74"/>
        <v>Light</v>
      </c>
      <c r="T960" t="str">
        <f>_xlfn.XLOOKUP(Orders[[#This Row],[Customer ID]],customers!$A$1:$A$1001,customers!$I$1:$I$1001,,0)</f>
        <v>Yes</v>
      </c>
    </row>
    <row r="961" spans="1:20" x14ac:dyDescent="0.35">
      <c r="A961" s="2" t="s">
        <v>5910</v>
      </c>
      <c r="B961" s="3">
        <v>44598</v>
      </c>
      <c r="C961" s="2" t="s">
        <v>5911</v>
      </c>
      <c r="D961" t="s">
        <v>6145</v>
      </c>
      <c r="E961" t="str">
        <f t="shared" si="72"/>
        <v>Liberica-Light-0.2</v>
      </c>
      <c r="F961" s="2">
        <v>5</v>
      </c>
      <c r="G961" s="2" t="str" cm="1">
        <f t="array" ref="G961">_xlfn.XLOOKUP(C961, customers!$A$1:A1960,customers!$B$1:B1960,,0)</f>
        <v>Rhodie Strathern</v>
      </c>
      <c r="H961" s="2" t="str" cm="1">
        <f t="array" ref="H961">IF(_xlfn.XLOOKUP(C961,customers!$A$1:A1960,customers!$C$1:C1960,,0) = 0,"", _xlfn.XLOOKUP(C961,customers!$A$1:A1960,customers!$C$1:C1960,,0))</f>
        <v>rstrathernqn@devhub.com</v>
      </c>
      <c r="I961" s="2" t="str">
        <f>_xlfn.XLOOKUP(C961,customers!$A$1:$A$1001,customers!$G$1:$G$1001,,0)</f>
        <v>United States</v>
      </c>
      <c r="J961" s="2" t="str">
        <f>_xlfn.XLOOKUP(Orders[[#This Row],[Customer ID]],customers!$A$1:$A$1001,customers!$F$1:$F$1001,,0)</f>
        <v>Little Rock</v>
      </c>
      <c r="K961" t="str">
        <f>INDEX(products!$A$1:$G$49,MATCH(orders!$D961,products!$A$1:$A$49,0),MATCH(orders!K$1,products!$A$1:$G$1,0))</f>
        <v>Lib</v>
      </c>
      <c r="L961" t="str">
        <f>INDEX(products!$A$1:$G$49,MATCH(orders!$D961,products!$A$1:$A$49,0),MATCH(orders!L$1,products!$A$1:$G$1,0))</f>
        <v>L</v>
      </c>
      <c r="M961" s="14">
        <f>INDEX(products!$A$1:$G$49,MATCH(orders!$D961,products!$A$1:$A$49,0),MATCH(orders!M$1,products!$A$1:$G$1,0))</f>
        <v>0.2</v>
      </c>
      <c r="N961" s="4">
        <f>INDEX(products!$A$1:$G$49,MATCH(orders!$D961,products!$A$1:$A$49,0),MATCH(orders!N$1,products!$A$1:$G$1,0))</f>
        <v>4.7549999999999999</v>
      </c>
      <c r="O961" s="13">
        <f t="shared" si="70"/>
        <v>23.774999999999999</v>
      </c>
      <c r="P961" s="13">
        <f>_xlfn.XLOOKUP(Orders[[#This Row],[Product ID]],products!$A$1:$A$49,products!$G$1:$G$49,,0)</f>
        <v>0.61814999999999998</v>
      </c>
      <c r="Q961" s="13">
        <f t="shared" si="71"/>
        <v>3.0907499999999999</v>
      </c>
      <c r="R961" t="str">
        <f t="shared" si="73"/>
        <v>Liberica</v>
      </c>
      <c r="S961" t="str">
        <f t="shared" si="74"/>
        <v>Light</v>
      </c>
      <c r="T961" t="str">
        <f>_xlfn.XLOOKUP(Orders[[#This Row],[Customer ID]],customers!$A$1:$A$1001,customers!$I$1:$I$1001,,0)</f>
        <v>Yes</v>
      </c>
    </row>
    <row r="962" spans="1:20" x14ac:dyDescent="0.35">
      <c r="A962" s="2" t="s">
        <v>5915</v>
      </c>
      <c r="B962" s="3">
        <v>44591</v>
      </c>
      <c r="C962" s="2" t="s">
        <v>5916</v>
      </c>
      <c r="D962" t="s">
        <v>6170</v>
      </c>
      <c r="E962" t="str">
        <f t="shared" si="72"/>
        <v>Liberica-Light-1</v>
      </c>
      <c r="F962" s="2">
        <v>5</v>
      </c>
      <c r="G962" s="2" t="str" cm="1">
        <f t="array" ref="G962">_xlfn.XLOOKUP(C962, customers!$A$1:A1961,customers!$B$1:B1961,,0)</f>
        <v>Chad Miguel</v>
      </c>
      <c r="H962" s="2" t="str" cm="1">
        <f t="array" ref="H962">IF(_xlfn.XLOOKUP(C962,customers!$A$1:A1961,customers!$C$1:C1961,,0) = 0,"", _xlfn.XLOOKUP(C962,customers!$A$1:A1961,customers!$C$1:C1961,,0))</f>
        <v>cmiguelqo@exblog.jp</v>
      </c>
      <c r="I962" s="2" t="str">
        <f>_xlfn.XLOOKUP(C962,customers!$A$1:$A$1001,customers!$G$1:$G$1001,,0)</f>
        <v>United States</v>
      </c>
      <c r="J962" s="2" t="str">
        <f>_xlfn.XLOOKUP(Orders[[#This Row],[Customer ID]],customers!$A$1:$A$1001,customers!$F$1:$F$1001,,0)</f>
        <v>Hagerstown</v>
      </c>
      <c r="K962" t="str">
        <f>INDEX(products!$A$1:$G$49,MATCH(orders!$D962,products!$A$1:$A$49,0),MATCH(orders!K$1,products!$A$1:$G$1,0))</f>
        <v>Lib</v>
      </c>
      <c r="L962" t="str">
        <f>INDEX(products!$A$1:$G$49,MATCH(orders!$D962,products!$A$1:$A$49,0),MATCH(orders!L$1,products!$A$1:$G$1,0))</f>
        <v>L</v>
      </c>
      <c r="M962" s="14">
        <f>INDEX(products!$A$1:$G$49,MATCH(orders!$D962,products!$A$1:$A$49,0),MATCH(orders!M$1,products!$A$1:$G$1,0))</f>
        <v>1</v>
      </c>
      <c r="N962" s="4">
        <f>INDEX(products!$A$1:$G$49,MATCH(orders!$D962,products!$A$1:$A$49,0),MATCH(orders!N$1,products!$A$1:$G$1,0))</f>
        <v>15.85</v>
      </c>
      <c r="O962" s="13">
        <f t="shared" ref="O962:O1025" si="75">N962*F962</f>
        <v>79.25</v>
      </c>
      <c r="P962" s="13">
        <f>_xlfn.XLOOKUP(Orders[[#This Row],[Product ID]],products!$A$1:$A$49,products!$G$1:$G$49,,0)</f>
        <v>2.0605000000000002</v>
      </c>
      <c r="Q962" s="13">
        <f t="shared" ref="Q962:Q1001" si="76">P962*F962</f>
        <v>10.302500000000002</v>
      </c>
      <c r="R962" t="str">
        <f t="shared" si="73"/>
        <v>Liberica</v>
      </c>
      <c r="S962" t="str">
        <f t="shared" si="74"/>
        <v>Light</v>
      </c>
      <c r="T962" t="str">
        <f>_xlfn.XLOOKUP(Orders[[#This Row],[Customer ID]],customers!$A$1:$A$1001,customers!$I$1:$I$1001,,0)</f>
        <v>Yes</v>
      </c>
    </row>
    <row r="963" spans="1:20" x14ac:dyDescent="0.35">
      <c r="A963" s="2" t="s">
        <v>5921</v>
      </c>
      <c r="B963" s="3">
        <v>44158</v>
      </c>
      <c r="C963" s="2" t="s">
        <v>5922</v>
      </c>
      <c r="D963" t="s">
        <v>6168</v>
      </c>
      <c r="E963" t="str">
        <f t="shared" ref="E963:E1001" si="77">IF(LEFT(D963,1)="R", "Robusta",
    IF(LEFT(D963,1)="A", "Arabica",
        IF(LEFT(D963,1)="E", "Excelsa",
            IF(LEFT(D963,1)="L", "Liberica", "")
        )
    )
) &amp; "-" &amp;
IF(MID(D963,3,1)="D", "Dark",
    IF(MID(D963,3,1)="M", "Medium",
        IF(MID(D963,3,1)="L", "Light", "")
    )
) &amp; "-" &amp;
MID(D963,5,LEN(D963)-4)</f>
        <v>Arabica-Dark-2.5</v>
      </c>
      <c r="F963" s="2">
        <v>2</v>
      </c>
      <c r="G963" s="2" t="str" cm="1">
        <f t="array" ref="G963">_xlfn.XLOOKUP(C963, customers!$A$1:A1962,customers!$B$1:B1962,,0)</f>
        <v>Florinda Matusovsky</v>
      </c>
      <c r="H963" s="2" t="str" cm="1">
        <f t="array" ref="H963">IF(_xlfn.XLOOKUP(C963,customers!$A$1:A1962,customers!$C$1:C1962,,0) = 0,"", _xlfn.XLOOKUP(C963,customers!$A$1:A1962,customers!$C$1:C1962,,0))</f>
        <v/>
      </c>
      <c r="I963" s="2" t="str">
        <f>_xlfn.XLOOKUP(C963,customers!$A$1:$A$1001,customers!$G$1:$G$1001,,0)</f>
        <v>United States</v>
      </c>
      <c r="J963" s="2" t="str">
        <f>_xlfn.XLOOKUP(Orders[[#This Row],[Customer ID]],customers!$A$1:$A$1001,customers!$F$1:$F$1001,,0)</f>
        <v>Albany</v>
      </c>
      <c r="K963" t="str">
        <f>INDEX(products!$A$1:$G$49,MATCH(orders!$D963,products!$A$1:$A$49,0),MATCH(orders!K$1,products!$A$1:$G$1,0))</f>
        <v>Ara</v>
      </c>
      <c r="L963" t="str">
        <f>INDEX(products!$A$1:$G$49,MATCH(orders!$D963,products!$A$1:$A$49,0),MATCH(orders!L$1,products!$A$1:$G$1,0))</f>
        <v>D</v>
      </c>
      <c r="M963" s="14">
        <f>INDEX(products!$A$1:$G$49,MATCH(orders!$D963,products!$A$1:$A$49,0),MATCH(orders!M$1,products!$A$1:$G$1,0))</f>
        <v>2.5</v>
      </c>
      <c r="N963" s="4">
        <f>INDEX(products!$A$1:$G$49,MATCH(orders!$D963,products!$A$1:$A$49,0),MATCH(orders!N$1,products!$A$1:$G$1,0))</f>
        <v>22.884999999999998</v>
      </c>
      <c r="O963" s="13">
        <f t="shared" si="75"/>
        <v>45.769999999999996</v>
      </c>
      <c r="P963" s="13">
        <f>_xlfn.XLOOKUP(Orders[[#This Row],[Product ID]],products!$A$1:$A$49,products!$G$1:$G$49,,0)</f>
        <v>2.0596499999999995</v>
      </c>
      <c r="Q963" s="13">
        <f t="shared" si="76"/>
        <v>4.1192999999999991</v>
      </c>
      <c r="R963" t="str">
        <f t="shared" ref="R963:R1001" si="78">IF(K963="Rob","Robusta",IF(K963="Exc","Execelsa",IF(K963="Ara","Arabica",IF(K963="Lib","Liberica",""))))</f>
        <v>Arabica</v>
      </c>
      <c r="S963" t="str">
        <f t="shared" ref="S963:S1001" si="79" xml:space="preserve"> IF(L963="M", "Medium", IF(L963="L","Light",IF(L963="D","Dark","")))</f>
        <v>Dark</v>
      </c>
      <c r="T963" t="str">
        <f>_xlfn.XLOOKUP(Orders[[#This Row],[Customer ID]],customers!$A$1:$A$1001,customers!$I$1:$I$1001,,0)</f>
        <v>Yes</v>
      </c>
    </row>
    <row r="964" spans="1:20" x14ac:dyDescent="0.35">
      <c r="A964" s="2" t="s">
        <v>5926</v>
      </c>
      <c r="B964" s="3">
        <v>44664</v>
      </c>
      <c r="C964" s="2" t="s">
        <v>5927</v>
      </c>
      <c r="D964" t="s">
        <v>6177</v>
      </c>
      <c r="E964" t="str">
        <f t="shared" si="77"/>
        <v>Robusta-Dark-1</v>
      </c>
      <c r="F964" s="2">
        <v>1</v>
      </c>
      <c r="G964" s="2" t="str" cm="1">
        <f t="array" ref="G964">_xlfn.XLOOKUP(C964, customers!$A$1:A1963,customers!$B$1:B1963,,0)</f>
        <v>Morly Rocks</v>
      </c>
      <c r="H964" s="2" t="str" cm="1">
        <f t="array" ref="H964">IF(_xlfn.XLOOKUP(C964,customers!$A$1:A1963,customers!$C$1:C1963,,0) = 0,"", _xlfn.XLOOKUP(C964,customers!$A$1:A1963,customers!$C$1:C1963,,0))</f>
        <v>mrocksqq@exblog.jp</v>
      </c>
      <c r="I964" s="2" t="str">
        <f>_xlfn.XLOOKUP(C964,customers!$A$1:$A$1001,customers!$G$1:$G$1001,,0)</f>
        <v>Ireland</v>
      </c>
      <c r="J964" s="2" t="str">
        <f>_xlfn.XLOOKUP(Orders[[#This Row],[Customer ID]],customers!$A$1:$A$1001,customers!$F$1:$F$1001,,0)</f>
        <v>Crossmolina</v>
      </c>
      <c r="K964" t="str">
        <f>INDEX(products!$A$1:$G$49,MATCH(orders!$D964,products!$A$1:$A$49,0),MATCH(orders!K$1,products!$A$1:$G$1,0))</f>
        <v>Rob</v>
      </c>
      <c r="L964" t="str">
        <f>INDEX(products!$A$1:$G$49,MATCH(orders!$D964,products!$A$1:$A$49,0),MATCH(orders!L$1,products!$A$1:$G$1,0))</f>
        <v>D</v>
      </c>
      <c r="M964" s="14">
        <f>INDEX(products!$A$1:$G$49,MATCH(orders!$D964,products!$A$1:$A$49,0),MATCH(orders!M$1,products!$A$1:$G$1,0))</f>
        <v>1</v>
      </c>
      <c r="N964" s="4">
        <f>INDEX(products!$A$1:$G$49,MATCH(orders!$D964,products!$A$1:$A$49,0),MATCH(orders!N$1,products!$A$1:$G$1,0))</f>
        <v>8.9499999999999993</v>
      </c>
      <c r="O964" s="13">
        <f t="shared" si="75"/>
        <v>8.9499999999999993</v>
      </c>
      <c r="P964" s="13">
        <f>_xlfn.XLOOKUP(Orders[[#This Row],[Product ID]],products!$A$1:$A$49,products!$G$1:$G$49,,0)</f>
        <v>0.53699999999999992</v>
      </c>
      <c r="Q964" s="13">
        <f t="shared" si="76"/>
        <v>0.53699999999999992</v>
      </c>
      <c r="R964" t="str">
        <f t="shared" si="78"/>
        <v>Robusta</v>
      </c>
      <c r="S964" t="str">
        <f t="shared" si="79"/>
        <v>Dark</v>
      </c>
      <c r="T964" t="str">
        <f>_xlfn.XLOOKUP(Orders[[#This Row],[Customer ID]],customers!$A$1:$A$1001,customers!$I$1:$I$1001,,0)</f>
        <v>Yes</v>
      </c>
    </row>
    <row r="965" spans="1:20" x14ac:dyDescent="0.35">
      <c r="A965" s="2" t="s">
        <v>5932</v>
      </c>
      <c r="B965" s="3">
        <v>44203</v>
      </c>
      <c r="C965" s="2" t="s">
        <v>5933</v>
      </c>
      <c r="D965" t="s">
        <v>6146</v>
      </c>
      <c r="E965" t="str">
        <f t="shared" si="77"/>
        <v>Robusta-Medium-0.5</v>
      </c>
      <c r="F965" s="2">
        <v>4</v>
      </c>
      <c r="G965" s="2" t="str" cm="1">
        <f t="array" ref="G965">_xlfn.XLOOKUP(C965, customers!$A$1:A1964,customers!$B$1:B1964,,0)</f>
        <v>Yuri Burrells</v>
      </c>
      <c r="H965" s="2" t="str" cm="1">
        <f t="array" ref="H965">IF(_xlfn.XLOOKUP(C965,customers!$A$1:A1964,customers!$C$1:C1964,,0) = 0,"", _xlfn.XLOOKUP(C965,customers!$A$1:A1964,customers!$C$1:C1964,,0))</f>
        <v>yburrellsqr@vinaora.com</v>
      </c>
      <c r="I965" s="2" t="str">
        <f>_xlfn.XLOOKUP(C965,customers!$A$1:$A$1001,customers!$G$1:$G$1001,,0)</f>
        <v>United States</v>
      </c>
      <c r="J965" s="2" t="str">
        <f>_xlfn.XLOOKUP(Orders[[#This Row],[Customer ID]],customers!$A$1:$A$1001,customers!$F$1:$F$1001,,0)</f>
        <v>Lexington</v>
      </c>
      <c r="K965" t="str">
        <f>INDEX(products!$A$1:$G$49,MATCH(orders!$D965,products!$A$1:$A$49,0),MATCH(orders!K$1,products!$A$1:$G$1,0))</f>
        <v>Rob</v>
      </c>
      <c r="L965" t="str">
        <f>INDEX(products!$A$1:$G$49,MATCH(orders!$D965,products!$A$1:$A$49,0),MATCH(orders!L$1,products!$A$1:$G$1,0))</f>
        <v>M</v>
      </c>
      <c r="M965" s="14">
        <f>INDEX(products!$A$1:$G$49,MATCH(orders!$D965,products!$A$1:$A$49,0),MATCH(orders!M$1,products!$A$1:$G$1,0))</f>
        <v>0.5</v>
      </c>
      <c r="N965" s="4">
        <f>INDEX(products!$A$1:$G$49,MATCH(orders!$D965,products!$A$1:$A$49,0),MATCH(orders!N$1,products!$A$1:$G$1,0))</f>
        <v>5.97</v>
      </c>
      <c r="O965" s="13">
        <f t="shared" si="75"/>
        <v>23.88</v>
      </c>
      <c r="P965" s="13">
        <f>_xlfn.XLOOKUP(Orders[[#This Row],[Product ID]],products!$A$1:$A$49,products!$G$1:$G$49,,0)</f>
        <v>0.35819999999999996</v>
      </c>
      <c r="Q965" s="13">
        <f t="shared" si="76"/>
        <v>1.4327999999999999</v>
      </c>
      <c r="R965" t="str">
        <f t="shared" si="78"/>
        <v>Robusta</v>
      </c>
      <c r="S965" t="str">
        <f t="shared" si="79"/>
        <v>Medium</v>
      </c>
      <c r="T965" t="str">
        <f>_xlfn.XLOOKUP(Orders[[#This Row],[Customer ID]],customers!$A$1:$A$1001,customers!$I$1:$I$1001,,0)</f>
        <v>Yes</v>
      </c>
    </row>
    <row r="966" spans="1:20" x14ac:dyDescent="0.35">
      <c r="A966" s="2" t="s">
        <v>5938</v>
      </c>
      <c r="B966" s="3">
        <v>43865</v>
      </c>
      <c r="C966" s="2" t="s">
        <v>5939</v>
      </c>
      <c r="D966" t="s">
        <v>6184</v>
      </c>
      <c r="E966" t="str">
        <f t="shared" si="77"/>
        <v>Excelsa-Light-0.2</v>
      </c>
      <c r="F966" s="2">
        <v>5</v>
      </c>
      <c r="G966" s="2" t="str" cm="1">
        <f t="array" ref="G966">_xlfn.XLOOKUP(C966, customers!$A$1:A1965,customers!$B$1:B1965,,0)</f>
        <v>Cleopatra Goodrum</v>
      </c>
      <c r="H966" s="2" t="str" cm="1">
        <f t="array" ref="H966">IF(_xlfn.XLOOKUP(C966,customers!$A$1:A1965,customers!$C$1:C1965,,0) = 0,"", _xlfn.XLOOKUP(C966,customers!$A$1:A1965,customers!$C$1:C1965,,0))</f>
        <v>cgoodrumqs@goodreads.com</v>
      </c>
      <c r="I966" s="2" t="str">
        <f>_xlfn.XLOOKUP(C966,customers!$A$1:$A$1001,customers!$G$1:$G$1001,,0)</f>
        <v>United States</v>
      </c>
      <c r="J966" s="2" t="str">
        <f>_xlfn.XLOOKUP(Orders[[#This Row],[Customer ID]],customers!$A$1:$A$1001,customers!$F$1:$F$1001,,0)</f>
        <v>San Diego</v>
      </c>
      <c r="K966" t="str">
        <f>INDEX(products!$A$1:$G$49,MATCH(orders!$D966,products!$A$1:$A$49,0),MATCH(orders!K$1,products!$A$1:$G$1,0))</f>
        <v>Exc</v>
      </c>
      <c r="L966" t="str">
        <f>INDEX(products!$A$1:$G$49,MATCH(orders!$D966,products!$A$1:$A$49,0),MATCH(orders!L$1,products!$A$1:$G$1,0))</f>
        <v>L</v>
      </c>
      <c r="M966" s="14">
        <f>INDEX(products!$A$1:$G$49,MATCH(orders!$D966,products!$A$1:$A$49,0),MATCH(orders!M$1,products!$A$1:$G$1,0))</f>
        <v>0.2</v>
      </c>
      <c r="N966" s="4">
        <f>INDEX(products!$A$1:$G$49,MATCH(orders!$D966,products!$A$1:$A$49,0),MATCH(orders!N$1,products!$A$1:$G$1,0))</f>
        <v>4.4550000000000001</v>
      </c>
      <c r="O966" s="13">
        <f t="shared" si="75"/>
        <v>22.274999999999999</v>
      </c>
      <c r="P966" s="13">
        <f>_xlfn.XLOOKUP(Orders[[#This Row],[Product ID]],products!$A$1:$A$49,products!$G$1:$G$49,,0)</f>
        <v>0.49004999999999999</v>
      </c>
      <c r="Q966" s="13">
        <f t="shared" si="76"/>
        <v>2.45025</v>
      </c>
      <c r="R966" t="str">
        <f t="shared" si="78"/>
        <v>Execelsa</v>
      </c>
      <c r="S966" t="str">
        <f t="shared" si="79"/>
        <v>Light</v>
      </c>
      <c r="T966" t="str">
        <f>_xlfn.XLOOKUP(Orders[[#This Row],[Customer ID]],customers!$A$1:$A$1001,customers!$I$1:$I$1001,,0)</f>
        <v>No</v>
      </c>
    </row>
    <row r="967" spans="1:20" x14ac:dyDescent="0.35">
      <c r="A967" s="2" t="s">
        <v>5944</v>
      </c>
      <c r="B967" s="3">
        <v>43724</v>
      </c>
      <c r="C967" s="2" t="s">
        <v>5945</v>
      </c>
      <c r="D967" t="s">
        <v>6138</v>
      </c>
      <c r="E967" t="str">
        <f t="shared" si="77"/>
        <v>Robusta-Medium-1</v>
      </c>
      <c r="F967" s="2">
        <v>3</v>
      </c>
      <c r="G967" s="2" t="str" cm="1">
        <f t="array" ref="G967">_xlfn.XLOOKUP(C967, customers!$A$1:A1966,customers!$B$1:B1966,,0)</f>
        <v>Joey Jefferys</v>
      </c>
      <c r="H967" s="2" t="str" cm="1">
        <f t="array" ref="H967">IF(_xlfn.XLOOKUP(C967,customers!$A$1:A1966,customers!$C$1:C1966,,0) = 0,"", _xlfn.XLOOKUP(C967,customers!$A$1:A1966,customers!$C$1:C1966,,0))</f>
        <v>jjefferysqt@blog.com</v>
      </c>
      <c r="I967" s="2" t="str">
        <f>_xlfn.XLOOKUP(C967,customers!$A$1:$A$1001,customers!$G$1:$G$1001,,0)</f>
        <v>United States</v>
      </c>
      <c r="J967" s="2" t="str">
        <f>_xlfn.XLOOKUP(Orders[[#This Row],[Customer ID]],customers!$A$1:$A$1001,customers!$F$1:$F$1001,,0)</f>
        <v>Los Angeles</v>
      </c>
      <c r="K967" t="str">
        <f>INDEX(products!$A$1:$G$49,MATCH(orders!$D967,products!$A$1:$A$49,0),MATCH(orders!K$1,products!$A$1:$G$1,0))</f>
        <v>Rob</v>
      </c>
      <c r="L967" t="str">
        <f>INDEX(products!$A$1:$G$49,MATCH(orders!$D967,products!$A$1:$A$49,0),MATCH(orders!L$1,products!$A$1:$G$1,0))</f>
        <v>M</v>
      </c>
      <c r="M967" s="14">
        <f>INDEX(products!$A$1:$G$49,MATCH(orders!$D967,products!$A$1:$A$49,0),MATCH(orders!M$1,products!$A$1:$G$1,0))</f>
        <v>1</v>
      </c>
      <c r="N967" s="4">
        <f>INDEX(products!$A$1:$G$49,MATCH(orders!$D967,products!$A$1:$A$49,0),MATCH(orders!N$1,products!$A$1:$G$1,0))</f>
        <v>9.9499999999999993</v>
      </c>
      <c r="O967" s="13">
        <f t="shared" si="75"/>
        <v>29.849999999999998</v>
      </c>
      <c r="P967" s="13">
        <f>_xlfn.XLOOKUP(Orders[[#This Row],[Product ID]],products!$A$1:$A$49,products!$G$1:$G$49,,0)</f>
        <v>0.59699999999999998</v>
      </c>
      <c r="Q967" s="13">
        <f t="shared" si="76"/>
        <v>1.7909999999999999</v>
      </c>
      <c r="R967" t="str">
        <f t="shared" si="78"/>
        <v>Robusta</v>
      </c>
      <c r="S967" t="str">
        <f t="shared" si="79"/>
        <v>Medium</v>
      </c>
      <c r="T967" t="str">
        <f>_xlfn.XLOOKUP(Orders[[#This Row],[Customer ID]],customers!$A$1:$A$1001,customers!$I$1:$I$1001,,0)</f>
        <v>Yes</v>
      </c>
    </row>
    <row r="968" spans="1:20" x14ac:dyDescent="0.35">
      <c r="A968" s="2" t="s">
        <v>5949</v>
      </c>
      <c r="B968" s="3">
        <v>43491</v>
      </c>
      <c r="C968" s="2" t="s">
        <v>5950</v>
      </c>
      <c r="D968" t="s">
        <v>6176</v>
      </c>
      <c r="E968" t="str">
        <f t="shared" si="77"/>
        <v>Excelsa-Light-0.5</v>
      </c>
      <c r="F968" s="2">
        <v>6</v>
      </c>
      <c r="G968" s="2" t="str" cm="1">
        <f t="array" ref="G968">_xlfn.XLOOKUP(C968, customers!$A$1:A1967,customers!$B$1:B1967,,0)</f>
        <v>Bearnard Wardell</v>
      </c>
      <c r="H968" s="2" t="str" cm="1">
        <f t="array" ref="H968">IF(_xlfn.XLOOKUP(C968,customers!$A$1:A1967,customers!$C$1:C1967,,0) = 0,"", _xlfn.XLOOKUP(C968,customers!$A$1:A1967,customers!$C$1:C1967,,0))</f>
        <v>bwardellqu@adobe.com</v>
      </c>
      <c r="I968" s="2" t="str">
        <f>_xlfn.XLOOKUP(C968,customers!$A$1:$A$1001,customers!$G$1:$G$1001,,0)</f>
        <v>United States</v>
      </c>
      <c r="J968" s="2" t="str">
        <f>_xlfn.XLOOKUP(Orders[[#This Row],[Customer ID]],customers!$A$1:$A$1001,customers!$F$1:$F$1001,,0)</f>
        <v>Brooklyn</v>
      </c>
      <c r="K968" t="str">
        <f>INDEX(products!$A$1:$G$49,MATCH(orders!$D968,products!$A$1:$A$49,0),MATCH(orders!K$1,products!$A$1:$G$1,0))</f>
        <v>Exc</v>
      </c>
      <c r="L968" t="str">
        <f>INDEX(products!$A$1:$G$49,MATCH(orders!$D968,products!$A$1:$A$49,0),MATCH(orders!L$1,products!$A$1:$G$1,0))</f>
        <v>L</v>
      </c>
      <c r="M968" s="14">
        <f>INDEX(products!$A$1:$G$49,MATCH(orders!$D968,products!$A$1:$A$49,0),MATCH(orders!M$1,products!$A$1:$G$1,0))</f>
        <v>0.5</v>
      </c>
      <c r="N968" s="4">
        <f>INDEX(products!$A$1:$G$49,MATCH(orders!$D968,products!$A$1:$A$49,0),MATCH(orders!N$1,products!$A$1:$G$1,0))</f>
        <v>8.91</v>
      </c>
      <c r="O968" s="13">
        <f t="shared" si="75"/>
        <v>53.46</v>
      </c>
      <c r="P968" s="13">
        <f>_xlfn.XLOOKUP(Orders[[#This Row],[Product ID]],products!$A$1:$A$49,products!$G$1:$G$49,,0)</f>
        <v>0.98009999999999997</v>
      </c>
      <c r="Q968" s="13">
        <f t="shared" si="76"/>
        <v>5.8805999999999994</v>
      </c>
      <c r="R968" t="str">
        <f t="shared" si="78"/>
        <v>Execelsa</v>
      </c>
      <c r="S968" t="str">
        <f t="shared" si="79"/>
        <v>Light</v>
      </c>
      <c r="T968" t="str">
        <f>_xlfn.XLOOKUP(Orders[[#This Row],[Customer ID]],customers!$A$1:$A$1001,customers!$I$1:$I$1001,,0)</f>
        <v>Yes</v>
      </c>
    </row>
    <row r="969" spans="1:20" x14ac:dyDescent="0.35">
      <c r="A969" s="2" t="s">
        <v>5955</v>
      </c>
      <c r="B969" s="3">
        <v>44246</v>
      </c>
      <c r="C969" s="2" t="s">
        <v>5956</v>
      </c>
      <c r="D969" t="s">
        <v>6163</v>
      </c>
      <c r="E969" t="str">
        <f t="shared" si="77"/>
        <v>Robusta-Dark-0.2</v>
      </c>
      <c r="F969" s="2">
        <v>1</v>
      </c>
      <c r="G969" s="2" t="str" cm="1">
        <f t="array" ref="G969">_xlfn.XLOOKUP(C969, customers!$A$1:A1968,customers!$B$1:B1968,,0)</f>
        <v>Zeke Walisiak</v>
      </c>
      <c r="H969" s="2" t="str" cm="1">
        <f t="array" ref="H969">IF(_xlfn.XLOOKUP(C969,customers!$A$1:A1968,customers!$C$1:C1968,,0) = 0,"", _xlfn.XLOOKUP(C969,customers!$A$1:A1968,customers!$C$1:C1968,,0))</f>
        <v>zwalisiakqv@ucsd.edu</v>
      </c>
      <c r="I969" s="2" t="str">
        <f>_xlfn.XLOOKUP(C969,customers!$A$1:$A$1001,customers!$G$1:$G$1001,,0)</f>
        <v>Ireland</v>
      </c>
      <c r="J969" s="2" t="str">
        <f>_xlfn.XLOOKUP(Orders[[#This Row],[Customer ID]],customers!$A$1:$A$1001,customers!$F$1:$F$1001,,0)</f>
        <v>Booterstown</v>
      </c>
      <c r="K969" t="str">
        <f>INDEX(products!$A$1:$G$49,MATCH(orders!$D969,products!$A$1:$A$49,0),MATCH(orders!K$1,products!$A$1:$G$1,0))</f>
        <v>Rob</v>
      </c>
      <c r="L969" t="str">
        <f>INDEX(products!$A$1:$G$49,MATCH(orders!$D969,products!$A$1:$A$49,0),MATCH(orders!L$1,products!$A$1:$G$1,0))</f>
        <v>D</v>
      </c>
      <c r="M969" s="14">
        <f>INDEX(products!$A$1:$G$49,MATCH(orders!$D969,products!$A$1:$A$49,0),MATCH(orders!M$1,products!$A$1:$G$1,0))</f>
        <v>0.2</v>
      </c>
      <c r="N969" s="4">
        <f>INDEX(products!$A$1:$G$49,MATCH(orders!$D969,products!$A$1:$A$49,0),MATCH(orders!N$1,products!$A$1:$G$1,0))</f>
        <v>2.6849999999999996</v>
      </c>
      <c r="O969" s="13">
        <f t="shared" si="75"/>
        <v>2.6849999999999996</v>
      </c>
      <c r="P969" s="13">
        <f>_xlfn.XLOOKUP(Orders[[#This Row],[Product ID]],products!$A$1:$A$49,products!$G$1:$G$49,,0)</f>
        <v>0.16109999999999997</v>
      </c>
      <c r="Q969" s="13">
        <f t="shared" si="76"/>
        <v>0.16109999999999997</v>
      </c>
      <c r="R969" t="str">
        <f t="shared" si="78"/>
        <v>Robusta</v>
      </c>
      <c r="S969" t="str">
        <f t="shared" si="79"/>
        <v>Dark</v>
      </c>
      <c r="T969" t="str">
        <f>_xlfn.XLOOKUP(Orders[[#This Row],[Customer ID]],customers!$A$1:$A$1001,customers!$I$1:$I$1001,,0)</f>
        <v>Yes</v>
      </c>
    </row>
    <row r="970" spans="1:20" x14ac:dyDescent="0.35">
      <c r="A970" s="2" t="s">
        <v>5961</v>
      </c>
      <c r="B970" s="3">
        <v>44642</v>
      </c>
      <c r="C970" s="2" t="s">
        <v>5962</v>
      </c>
      <c r="D970" t="s">
        <v>6174</v>
      </c>
      <c r="E970" t="str">
        <f t="shared" si="77"/>
        <v>Robusta-Medium-0.2</v>
      </c>
      <c r="F970" s="2">
        <v>2</v>
      </c>
      <c r="G970" s="2" t="str" cm="1">
        <f t="array" ref="G970">_xlfn.XLOOKUP(C970, customers!$A$1:A1969,customers!$B$1:B1969,,0)</f>
        <v>Wiley Leopold</v>
      </c>
      <c r="H970" s="2" t="str" cm="1">
        <f t="array" ref="H970">IF(_xlfn.XLOOKUP(C970,customers!$A$1:A1969,customers!$C$1:C1969,,0) = 0,"", _xlfn.XLOOKUP(C970,customers!$A$1:A1969,customers!$C$1:C1969,,0))</f>
        <v>wleopoldqw@blogspot.com</v>
      </c>
      <c r="I970" s="2" t="str">
        <f>_xlfn.XLOOKUP(C970,customers!$A$1:$A$1001,customers!$G$1:$G$1001,,0)</f>
        <v>United States</v>
      </c>
      <c r="J970" s="2" t="str">
        <f>_xlfn.XLOOKUP(Orders[[#This Row],[Customer ID]],customers!$A$1:$A$1001,customers!$F$1:$F$1001,,0)</f>
        <v>Gainesville</v>
      </c>
      <c r="K970" t="str">
        <f>INDEX(products!$A$1:$G$49,MATCH(orders!$D970,products!$A$1:$A$49,0),MATCH(orders!K$1,products!$A$1:$G$1,0))</f>
        <v>Rob</v>
      </c>
      <c r="L970" t="str">
        <f>INDEX(products!$A$1:$G$49,MATCH(orders!$D970,products!$A$1:$A$49,0),MATCH(orders!L$1,products!$A$1:$G$1,0))</f>
        <v>M</v>
      </c>
      <c r="M970" s="14">
        <f>INDEX(products!$A$1:$G$49,MATCH(orders!$D970,products!$A$1:$A$49,0),MATCH(orders!M$1,products!$A$1:$G$1,0))</f>
        <v>0.2</v>
      </c>
      <c r="N970" s="4">
        <f>INDEX(products!$A$1:$G$49,MATCH(orders!$D970,products!$A$1:$A$49,0),MATCH(orders!N$1,products!$A$1:$G$1,0))</f>
        <v>2.9849999999999999</v>
      </c>
      <c r="O970" s="13">
        <f t="shared" si="75"/>
        <v>5.97</v>
      </c>
      <c r="P970" s="13">
        <f>_xlfn.XLOOKUP(Orders[[#This Row],[Product ID]],products!$A$1:$A$49,products!$G$1:$G$49,,0)</f>
        <v>0.17909999999999998</v>
      </c>
      <c r="Q970" s="13">
        <f t="shared" si="76"/>
        <v>0.35819999999999996</v>
      </c>
      <c r="R970" t="str">
        <f t="shared" si="78"/>
        <v>Robusta</v>
      </c>
      <c r="S970" t="str">
        <f t="shared" si="79"/>
        <v>Medium</v>
      </c>
      <c r="T970" t="str">
        <f>_xlfn.XLOOKUP(Orders[[#This Row],[Customer ID]],customers!$A$1:$A$1001,customers!$I$1:$I$1001,,0)</f>
        <v>No</v>
      </c>
    </row>
    <row r="971" spans="1:20" x14ac:dyDescent="0.35">
      <c r="A971" s="2" t="s">
        <v>5967</v>
      </c>
      <c r="B971" s="3">
        <v>43649</v>
      </c>
      <c r="C971" s="2" t="s">
        <v>5968</v>
      </c>
      <c r="D971" t="s">
        <v>6143</v>
      </c>
      <c r="E971" t="str">
        <f t="shared" si="77"/>
        <v>Liberica-Dark-1</v>
      </c>
      <c r="F971" s="2">
        <v>1</v>
      </c>
      <c r="G971" s="2" t="str" cm="1">
        <f t="array" ref="G971">_xlfn.XLOOKUP(C971, customers!$A$1:A1970,customers!$B$1:B1970,,0)</f>
        <v>Chiarra Shalders</v>
      </c>
      <c r="H971" s="2" t="str" cm="1">
        <f t="array" ref="H971">IF(_xlfn.XLOOKUP(C971,customers!$A$1:A1970,customers!$C$1:C1970,,0) = 0,"", _xlfn.XLOOKUP(C971,customers!$A$1:A1970,customers!$C$1:C1970,,0))</f>
        <v>cshaldersqx@cisco.com</v>
      </c>
      <c r="I971" s="2" t="str">
        <f>_xlfn.XLOOKUP(C971,customers!$A$1:$A$1001,customers!$G$1:$G$1001,,0)</f>
        <v>United States</v>
      </c>
      <c r="J971" s="2" t="str">
        <f>_xlfn.XLOOKUP(Orders[[#This Row],[Customer ID]],customers!$A$1:$A$1001,customers!$F$1:$F$1001,,0)</f>
        <v>Clearwater</v>
      </c>
      <c r="K971" t="str">
        <f>INDEX(products!$A$1:$G$49,MATCH(orders!$D971,products!$A$1:$A$49,0),MATCH(orders!K$1,products!$A$1:$G$1,0))</f>
        <v>Lib</v>
      </c>
      <c r="L971" t="str">
        <f>INDEX(products!$A$1:$G$49,MATCH(orders!$D971,products!$A$1:$A$49,0),MATCH(orders!L$1,products!$A$1:$G$1,0))</f>
        <v>D</v>
      </c>
      <c r="M971" s="14">
        <f>INDEX(products!$A$1:$G$49,MATCH(orders!$D971,products!$A$1:$A$49,0),MATCH(orders!M$1,products!$A$1:$G$1,0))</f>
        <v>1</v>
      </c>
      <c r="N971" s="4">
        <f>INDEX(products!$A$1:$G$49,MATCH(orders!$D971,products!$A$1:$A$49,0),MATCH(orders!N$1,products!$A$1:$G$1,0))</f>
        <v>12.95</v>
      </c>
      <c r="O971" s="13">
        <f t="shared" si="75"/>
        <v>12.95</v>
      </c>
      <c r="P971" s="13">
        <f>_xlfn.XLOOKUP(Orders[[#This Row],[Product ID]],products!$A$1:$A$49,products!$G$1:$G$49,,0)</f>
        <v>1.6835</v>
      </c>
      <c r="Q971" s="13">
        <f t="shared" si="76"/>
        <v>1.6835</v>
      </c>
      <c r="R971" t="str">
        <f t="shared" si="78"/>
        <v>Liberica</v>
      </c>
      <c r="S971" t="str">
        <f t="shared" si="79"/>
        <v>Dark</v>
      </c>
      <c r="T971" t="str">
        <f>_xlfn.XLOOKUP(Orders[[#This Row],[Customer ID]],customers!$A$1:$A$1001,customers!$I$1:$I$1001,,0)</f>
        <v>Yes</v>
      </c>
    </row>
    <row r="972" spans="1:20" x14ac:dyDescent="0.35">
      <c r="A972" s="2" t="s">
        <v>5973</v>
      </c>
      <c r="B972" s="3">
        <v>43729</v>
      </c>
      <c r="C972" s="2" t="s">
        <v>5974</v>
      </c>
      <c r="D972" t="s">
        <v>6139</v>
      </c>
      <c r="E972" t="str">
        <f t="shared" si="77"/>
        <v>Excelsa-Medium-0.5</v>
      </c>
      <c r="F972" s="2">
        <v>1</v>
      </c>
      <c r="G972" s="2" t="str" cm="1">
        <f t="array" ref="G972">_xlfn.XLOOKUP(C972, customers!$A$1:A1971,customers!$B$1:B1971,,0)</f>
        <v>Sharl Southerill</v>
      </c>
      <c r="H972" s="2" t="str" cm="1">
        <f t="array" ref="H972">IF(_xlfn.XLOOKUP(C972,customers!$A$1:A1971,customers!$C$1:C1971,,0) = 0,"", _xlfn.XLOOKUP(C972,customers!$A$1:A1971,customers!$C$1:C1971,,0))</f>
        <v/>
      </c>
      <c r="I972" s="2" t="str">
        <f>_xlfn.XLOOKUP(C972,customers!$A$1:$A$1001,customers!$G$1:$G$1001,,0)</f>
        <v>United States</v>
      </c>
      <c r="J972" s="2" t="str">
        <f>_xlfn.XLOOKUP(Orders[[#This Row],[Customer ID]],customers!$A$1:$A$1001,customers!$F$1:$F$1001,,0)</f>
        <v>Amarillo</v>
      </c>
      <c r="K972" t="str">
        <f>INDEX(products!$A$1:$G$49,MATCH(orders!$D972,products!$A$1:$A$49,0),MATCH(orders!K$1,products!$A$1:$G$1,0))</f>
        <v>Exc</v>
      </c>
      <c r="L972" t="str">
        <f>INDEX(products!$A$1:$G$49,MATCH(orders!$D972,products!$A$1:$A$49,0),MATCH(orders!L$1,products!$A$1:$G$1,0))</f>
        <v>M</v>
      </c>
      <c r="M972" s="14">
        <f>INDEX(products!$A$1:$G$49,MATCH(orders!$D972,products!$A$1:$A$49,0),MATCH(orders!M$1,products!$A$1:$G$1,0))</f>
        <v>0.5</v>
      </c>
      <c r="N972" s="4">
        <f>INDEX(products!$A$1:$G$49,MATCH(orders!$D972,products!$A$1:$A$49,0),MATCH(orders!N$1,products!$A$1:$G$1,0))</f>
        <v>8.25</v>
      </c>
      <c r="O972" s="13">
        <f t="shared" si="75"/>
        <v>8.25</v>
      </c>
      <c r="P972" s="13">
        <f>_xlfn.XLOOKUP(Orders[[#This Row],[Product ID]],products!$A$1:$A$49,products!$G$1:$G$49,,0)</f>
        <v>0.90749999999999997</v>
      </c>
      <c r="Q972" s="13">
        <f t="shared" si="76"/>
        <v>0.90749999999999997</v>
      </c>
      <c r="R972" t="str">
        <f t="shared" si="78"/>
        <v>Execelsa</v>
      </c>
      <c r="S972" t="str">
        <f t="shared" si="79"/>
        <v>Medium</v>
      </c>
      <c r="T972" t="str">
        <f>_xlfn.XLOOKUP(Orders[[#This Row],[Customer ID]],customers!$A$1:$A$1001,customers!$I$1:$I$1001,,0)</f>
        <v>No</v>
      </c>
    </row>
    <row r="973" spans="1:20" x14ac:dyDescent="0.35">
      <c r="A973" s="2" t="s">
        <v>5978</v>
      </c>
      <c r="B973" s="3">
        <v>43703</v>
      </c>
      <c r="C973" s="2" t="s">
        <v>5979</v>
      </c>
      <c r="D973" t="s">
        <v>6182</v>
      </c>
      <c r="E973" t="str">
        <f t="shared" si="77"/>
        <v>Arabica-Light-2.5</v>
      </c>
      <c r="F973" s="2">
        <v>5</v>
      </c>
      <c r="G973" s="2" t="str" cm="1">
        <f t="array" ref="G973">_xlfn.XLOOKUP(C973, customers!$A$1:A1972,customers!$B$1:B1972,,0)</f>
        <v>Noni Furber</v>
      </c>
      <c r="H973" s="2" t="str" cm="1">
        <f t="array" ref="H973">IF(_xlfn.XLOOKUP(C973,customers!$A$1:A1972,customers!$C$1:C1972,,0) = 0,"", _xlfn.XLOOKUP(C973,customers!$A$1:A1972,customers!$C$1:C1972,,0))</f>
        <v>nfurberqz@jugem.jp</v>
      </c>
      <c r="I973" s="2" t="str">
        <f>_xlfn.XLOOKUP(C973,customers!$A$1:$A$1001,customers!$G$1:$G$1001,,0)</f>
        <v>United States</v>
      </c>
      <c r="J973" s="2" t="str">
        <f>_xlfn.XLOOKUP(Orders[[#This Row],[Customer ID]],customers!$A$1:$A$1001,customers!$F$1:$F$1001,,0)</f>
        <v>Fort Worth</v>
      </c>
      <c r="K973" t="str">
        <f>INDEX(products!$A$1:$G$49,MATCH(orders!$D973,products!$A$1:$A$49,0),MATCH(orders!K$1,products!$A$1:$G$1,0))</f>
        <v>Ara</v>
      </c>
      <c r="L973" t="str">
        <f>INDEX(products!$A$1:$G$49,MATCH(orders!$D973,products!$A$1:$A$49,0),MATCH(orders!L$1,products!$A$1:$G$1,0))</f>
        <v>L</v>
      </c>
      <c r="M973" s="14">
        <f>INDEX(products!$A$1:$G$49,MATCH(orders!$D973,products!$A$1:$A$49,0),MATCH(orders!M$1,products!$A$1:$G$1,0))</f>
        <v>2.5</v>
      </c>
      <c r="N973" s="4">
        <f>INDEX(products!$A$1:$G$49,MATCH(orders!$D973,products!$A$1:$A$49,0),MATCH(orders!N$1,products!$A$1:$G$1,0))</f>
        <v>29.784999999999997</v>
      </c>
      <c r="O973" s="13">
        <f t="shared" si="75"/>
        <v>148.92499999999998</v>
      </c>
      <c r="P973" s="13">
        <f>_xlfn.XLOOKUP(Orders[[#This Row],[Product ID]],products!$A$1:$A$49,products!$G$1:$G$49,,0)</f>
        <v>2.6806499999999995</v>
      </c>
      <c r="Q973" s="13">
        <f t="shared" si="76"/>
        <v>13.403249999999998</v>
      </c>
      <c r="R973" t="str">
        <f t="shared" si="78"/>
        <v>Arabica</v>
      </c>
      <c r="S973" t="str">
        <f t="shared" si="79"/>
        <v>Light</v>
      </c>
      <c r="T973" t="str">
        <f>_xlfn.XLOOKUP(Orders[[#This Row],[Customer ID]],customers!$A$1:$A$1001,customers!$I$1:$I$1001,,0)</f>
        <v>No</v>
      </c>
    </row>
    <row r="974" spans="1:20" x14ac:dyDescent="0.35">
      <c r="A974" s="2" t="s">
        <v>5984</v>
      </c>
      <c r="B974" s="3">
        <v>44411</v>
      </c>
      <c r="C974" s="2" t="s">
        <v>5985</v>
      </c>
      <c r="D974" t="s">
        <v>6182</v>
      </c>
      <c r="E974" t="str">
        <f t="shared" si="77"/>
        <v>Arabica-Light-2.5</v>
      </c>
      <c r="F974" s="2">
        <v>3</v>
      </c>
      <c r="G974" s="2" t="str" cm="1">
        <f t="array" ref="G974">_xlfn.XLOOKUP(C974, customers!$A$1:A1973,customers!$B$1:B1973,,0)</f>
        <v>Dinah Crutcher</v>
      </c>
      <c r="H974" s="2" t="str" cm="1">
        <f t="array" ref="H974">IF(_xlfn.XLOOKUP(C974,customers!$A$1:A1973,customers!$C$1:C1973,,0) = 0,"", _xlfn.XLOOKUP(C974,customers!$A$1:A1973,customers!$C$1:C1973,,0))</f>
        <v/>
      </c>
      <c r="I974" s="2" t="str">
        <f>_xlfn.XLOOKUP(C974,customers!$A$1:$A$1001,customers!$G$1:$G$1001,,0)</f>
        <v>Ireland</v>
      </c>
      <c r="J974" s="2" t="str">
        <f>_xlfn.XLOOKUP(Orders[[#This Row],[Customer ID]],customers!$A$1:$A$1001,customers!$F$1:$F$1001,,0)</f>
        <v>Lusk</v>
      </c>
      <c r="K974" t="str">
        <f>INDEX(products!$A$1:$G$49,MATCH(orders!$D974,products!$A$1:$A$49,0),MATCH(orders!K$1,products!$A$1:$G$1,0))</f>
        <v>Ara</v>
      </c>
      <c r="L974" t="str">
        <f>INDEX(products!$A$1:$G$49,MATCH(orders!$D974,products!$A$1:$A$49,0),MATCH(orders!L$1,products!$A$1:$G$1,0))</f>
        <v>L</v>
      </c>
      <c r="M974" s="14">
        <f>INDEX(products!$A$1:$G$49,MATCH(orders!$D974,products!$A$1:$A$49,0),MATCH(orders!M$1,products!$A$1:$G$1,0))</f>
        <v>2.5</v>
      </c>
      <c r="N974" s="4">
        <f>INDEX(products!$A$1:$G$49,MATCH(orders!$D974,products!$A$1:$A$49,0),MATCH(orders!N$1,products!$A$1:$G$1,0))</f>
        <v>29.784999999999997</v>
      </c>
      <c r="O974" s="13">
        <f t="shared" si="75"/>
        <v>89.35499999999999</v>
      </c>
      <c r="P974" s="13">
        <f>_xlfn.XLOOKUP(Orders[[#This Row],[Product ID]],products!$A$1:$A$49,products!$G$1:$G$49,,0)</f>
        <v>2.6806499999999995</v>
      </c>
      <c r="Q974" s="13">
        <f t="shared" si="76"/>
        <v>8.0419499999999982</v>
      </c>
      <c r="R974" t="str">
        <f t="shared" si="78"/>
        <v>Arabica</v>
      </c>
      <c r="S974" t="str">
        <f t="shared" si="79"/>
        <v>Light</v>
      </c>
      <c r="T974" t="str">
        <f>_xlfn.XLOOKUP(Orders[[#This Row],[Customer ID]],customers!$A$1:$A$1001,customers!$I$1:$I$1001,,0)</f>
        <v>Yes</v>
      </c>
    </row>
    <row r="975" spans="1:20" x14ac:dyDescent="0.35">
      <c r="A975" s="2" t="s">
        <v>5989</v>
      </c>
      <c r="B975" s="3">
        <v>44493</v>
      </c>
      <c r="C975" s="2" t="s">
        <v>5990</v>
      </c>
      <c r="D975" t="s">
        <v>6162</v>
      </c>
      <c r="E975" t="str">
        <f t="shared" si="77"/>
        <v>Liberica-Medium-1</v>
      </c>
      <c r="F975" s="2">
        <v>6</v>
      </c>
      <c r="G975" s="2" t="str" cm="1">
        <f t="array" ref="G975">_xlfn.XLOOKUP(C975, customers!$A$1:A1974,customers!$B$1:B1974,,0)</f>
        <v>Charlean Keave</v>
      </c>
      <c r="H975" s="2" t="str" cm="1">
        <f t="array" ref="H975">IF(_xlfn.XLOOKUP(C975,customers!$A$1:A1974,customers!$C$1:C1974,,0) = 0,"", _xlfn.XLOOKUP(C975,customers!$A$1:A1974,customers!$C$1:C1974,,0))</f>
        <v>ckeaver1@ucoz.com</v>
      </c>
      <c r="I975" s="2" t="str">
        <f>_xlfn.XLOOKUP(C975,customers!$A$1:$A$1001,customers!$G$1:$G$1001,,0)</f>
        <v>United States</v>
      </c>
      <c r="J975" s="2" t="str">
        <f>_xlfn.XLOOKUP(Orders[[#This Row],[Customer ID]],customers!$A$1:$A$1001,customers!$F$1:$F$1001,,0)</f>
        <v>Pensacola</v>
      </c>
      <c r="K975" t="str">
        <f>INDEX(products!$A$1:$G$49,MATCH(orders!$D975,products!$A$1:$A$49,0),MATCH(orders!K$1,products!$A$1:$G$1,0))</f>
        <v>Lib</v>
      </c>
      <c r="L975" t="str">
        <f>INDEX(products!$A$1:$G$49,MATCH(orders!$D975,products!$A$1:$A$49,0),MATCH(orders!L$1,products!$A$1:$G$1,0))</f>
        <v>M</v>
      </c>
      <c r="M975" s="14">
        <f>INDEX(products!$A$1:$G$49,MATCH(orders!$D975,products!$A$1:$A$49,0),MATCH(orders!M$1,products!$A$1:$G$1,0))</f>
        <v>1</v>
      </c>
      <c r="N975" s="4">
        <f>INDEX(products!$A$1:$G$49,MATCH(orders!$D975,products!$A$1:$A$49,0),MATCH(orders!N$1,products!$A$1:$G$1,0))</f>
        <v>14.55</v>
      </c>
      <c r="O975" s="13">
        <f t="shared" si="75"/>
        <v>87.300000000000011</v>
      </c>
      <c r="P975" s="13">
        <f>_xlfn.XLOOKUP(Orders[[#This Row],[Product ID]],products!$A$1:$A$49,products!$G$1:$G$49,,0)</f>
        <v>1.8915000000000002</v>
      </c>
      <c r="Q975" s="13">
        <f t="shared" si="76"/>
        <v>11.349</v>
      </c>
      <c r="R975" t="str">
        <f t="shared" si="78"/>
        <v>Liberica</v>
      </c>
      <c r="S975" t="str">
        <f t="shared" si="79"/>
        <v>Medium</v>
      </c>
      <c r="T975" t="str">
        <f>_xlfn.XLOOKUP(Orders[[#This Row],[Customer ID]],customers!$A$1:$A$1001,customers!$I$1:$I$1001,,0)</f>
        <v>No</v>
      </c>
    </row>
    <row r="976" spans="1:20" x14ac:dyDescent="0.35">
      <c r="A976" s="2" t="s">
        <v>5995</v>
      </c>
      <c r="B976" s="3">
        <v>43556</v>
      </c>
      <c r="C976" s="2" t="s">
        <v>5996</v>
      </c>
      <c r="D976" t="s">
        <v>6172</v>
      </c>
      <c r="E976" t="str">
        <f t="shared" si="77"/>
        <v>Robusta-Dark-0.5</v>
      </c>
      <c r="F976" s="2">
        <v>1</v>
      </c>
      <c r="G976" s="2" t="str" cm="1">
        <f t="array" ref="G976">_xlfn.XLOOKUP(C976, customers!$A$1:A1975,customers!$B$1:B1975,,0)</f>
        <v>Sada Roseborough</v>
      </c>
      <c r="H976" s="2" t="str" cm="1">
        <f t="array" ref="H976">IF(_xlfn.XLOOKUP(C976,customers!$A$1:A1975,customers!$C$1:C1975,,0) = 0,"", _xlfn.XLOOKUP(C976,customers!$A$1:A1975,customers!$C$1:C1975,,0))</f>
        <v>sroseboroughr2@virginia.edu</v>
      </c>
      <c r="I976" s="2" t="str">
        <f>_xlfn.XLOOKUP(C976,customers!$A$1:$A$1001,customers!$G$1:$G$1001,,0)</f>
        <v>United States</v>
      </c>
      <c r="J976" s="2" t="str">
        <f>_xlfn.XLOOKUP(Orders[[#This Row],[Customer ID]],customers!$A$1:$A$1001,customers!$F$1:$F$1001,,0)</f>
        <v>Tacoma</v>
      </c>
      <c r="K976" t="str">
        <f>INDEX(products!$A$1:$G$49,MATCH(orders!$D976,products!$A$1:$A$49,0),MATCH(orders!K$1,products!$A$1:$G$1,0))</f>
        <v>Rob</v>
      </c>
      <c r="L976" t="str">
        <f>INDEX(products!$A$1:$G$49,MATCH(orders!$D976,products!$A$1:$A$49,0),MATCH(orders!L$1,products!$A$1:$G$1,0))</f>
        <v>D</v>
      </c>
      <c r="M976" s="14">
        <f>INDEX(products!$A$1:$G$49,MATCH(orders!$D976,products!$A$1:$A$49,0),MATCH(orders!M$1,products!$A$1:$G$1,0))</f>
        <v>0.5</v>
      </c>
      <c r="N976" s="4">
        <f>INDEX(products!$A$1:$G$49,MATCH(orders!$D976,products!$A$1:$A$49,0),MATCH(orders!N$1,products!$A$1:$G$1,0))</f>
        <v>5.3699999999999992</v>
      </c>
      <c r="O976" s="13">
        <f t="shared" si="75"/>
        <v>5.3699999999999992</v>
      </c>
      <c r="P976" s="13">
        <f>_xlfn.XLOOKUP(Orders[[#This Row],[Product ID]],products!$A$1:$A$49,products!$G$1:$G$49,,0)</f>
        <v>0.32219999999999993</v>
      </c>
      <c r="Q976" s="13">
        <f t="shared" si="76"/>
        <v>0.32219999999999993</v>
      </c>
      <c r="R976" t="str">
        <f t="shared" si="78"/>
        <v>Robusta</v>
      </c>
      <c r="S976" t="str">
        <f t="shared" si="79"/>
        <v>Dark</v>
      </c>
      <c r="T976" t="str">
        <f>_xlfn.XLOOKUP(Orders[[#This Row],[Customer ID]],customers!$A$1:$A$1001,customers!$I$1:$I$1001,,0)</f>
        <v>Yes</v>
      </c>
    </row>
    <row r="977" spans="1:20" x14ac:dyDescent="0.35">
      <c r="A977" s="2" t="s">
        <v>6001</v>
      </c>
      <c r="B977" s="3">
        <v>44538</v>
      </c>
      <c r="C977" s="2" t="s">
        <v>6002</v>
      </c>
      <c r="D977" t="s">
        <v>6154</v>
      </c>
      <c r="E977" t="str">
        <f t="shared" si="77"/>
        <v>Arabica-Dark-0.2</v>
      </c>
      <c r="F977" s="2">
        <v>3</v>
      </c>
      <c r="G977" s="2" t="str" cm="1">
        <f t="array" ref="G977">_xlfn.XLOOKUP(C977, customers!$A$1:A1976,customers!$B$1:B1976,,0)</f>
        <v>Clayton Kingwell</v>
      </c>
      <c r="H977" s="2" t="str" cm="1">
        <f t="array" ref="H977">IF(_xlfn.XLOOKUP(C977,customers!$A$1:A1976,customers!$C$1:C1976,,0) = 0,"", _xlfn.XLOOKUP(C977,customers!$A$1:A1976,customers!$C$1:C1976,,0))</f>
        <v>ckingwellr3@squarespace.com</v>
      </c>
      <c r="I977" s="2" t="str">
        <f>_xlfn.XLOOKUP(C977,customers!$A$1:$A$1001,customers!$G$1:$G$1001,,0)</f>
        <v>Ireland</v>
      </c>
      <c r="J977" s="2" t="str">
        <f>_xlfn.XLOOKUP(Orders[[#This Row],[Customer ID]],customers!$A$1:$A$1001,customers!$F$1:$F$1001,,0)</f>
        <v>Rathnew</v>
      </c>
      <c r="K977" t="str">
        <f>INDEX(products!$A$1:$G$49,MATCH(orders!$D977,products!$A$1:$A$49,0),MATCH(orders!K$1,products!$A$1:$G$1,0))</f>
        <v>Ara</v>
      </c>
      <c r="L977" t="str">
        <f>INDEX(products!$A$1:$G$49,MATCH(orders!$D977,products!$A$1:$A$49,0),MATCH(orders!L$1,products!$A$1:$G$1,0))</f>
        <v>D</v>
      </c>
      <c r="M977" s="14">
        <f>INDEX(products!$A$1:$G$49,MATCH(orders!$D977,products!$A$1:$A$49,0),MATCH(orders!M$1,products!$A$1:$G$1,0))</f>
        <v>0.2</v>
      </c>
      <c r="N977" s="4">
        <f>INDEX(products!$A$1:$G$49,MATCH(orders!$D977,products!$A$1:$A$49,0),MATCH(orders!N$1,products!$A$1:$G$1,0))</f>
        <v>2.9849999999999999</v>
      </c>
      <c r="O977" s="13">
        <f t="shared" si="75"/>
        <v>8.9550000000000001</v>
      </c>
      <c r="P977" s="13">
        <f>_xlfn.XLOOKUP(Orders[[#This Row],[Product ID]],products!$A$1:$A$49,products!$G$1:$G$49,,0)</f>
        <v>0.26865</v>
      </c>
      <c r="Q977" s="13">
        <f t="shared" si="76"/>
        <v>0.80594999999999994</v>
      </c>
      <c r="R977" t="str">
        <f t="shared" si="78"/>
        <v>Arabica</v>
      </c>
      <c r="S977" t="str">
        <f t="shared" si="79"/>
        <v>Dark</v>
      </c>
      <c r="T977" t="str">
        <f>_xlfn.XLOOKUP(Orders[[#This Row],[Customer ID]],customers!$A$1:$A$1001,customers!$I$1:$I$1001,,0)</f>
        <v>Yes</v>
      </c>
    </row>
    <row r="978" spans="1:20" x14ac:dyDescent="0.35">
      <c r="A978" s="2" t="s">
        <v>6007</v>
      </c>
      <c r="B978" s="3">
        <v>43643</v>
      </c>
      <c r="C978" s="2" t="s">
        <v>6008</v>
      </c>
      <c r="D978" t="s">
        <v>6142</v>
      </c>
      <c r="E978" t="str">
        <f t="shared" si="77"/>
        <v>Robusta-Light-2.5</v>
      </c>
      <c r="F978" s="2">
        <v>5</v>
      </c>
      <c r="G978" s="2" t="str" cm="1">
        <f t="array" ref="G978">_xlfn.XLOOKUP(C978, customers!$A$1:A1977,customers!$B$1:B1977,,0)</f>
        <v>Kacy Canto</v>
      </c>
      <c r="H978" s="2" t="str" cm="1">
        <f t="array" ref="H978">IF(_xlfn.XLOOKUP(C978,customers!$A$1:A1977,customers!$C$1:C1977,,0) = 0,"", _xlfn.XLOOKUP(C978,customers!$A$1:A1977,customers!$C$1:C1977,,0))</f>
        <v>kcantor4@gmpg.org</v>
      </c>
      <c r="I978" s="2" t="str">
        <f>_xlfn.XLOOKUP(C978,customers!$A$1:$A$1001,customers!$G$1:$G$1001,,0)</f>
        <v>United States</v>
      </c>
      <c r="J978" s="2" t="str">
        <f>_xlfn.XLOOKUP(Orders[[#This Row],[Customer ID]],customers!$A$1:$A$1001,customers!$F$1:$F$1001,,0)</f>
        <v>Fort Wayne</v>
      </c>
      <c r="K978" t="str">
        <f>INDEX(products!$A$1:$G$49,MATCH(orders!$D978,products!$A$1:$A$49,0),MATCH(orders!K$1,products!$A$1:$G$1,0))</f>
        <v>Rob</v>
      </c>
      <c r="L978" t="str">
        <f>INDEX(products!$A$1:$G$49,MATCH(orders!$D978,products!$A$1:$A$49,0),MATCH(orders!L$1,products!$A$1:$G$1,0))</f>
        <v>L</v>
      </c>
      <c r="M978" s="14">
        <f>INDEX(products!$A$1:$G$49,MATCH(orders!$D978,products!$A$1:$A$49,0),MATCH(orders!M$1,products!$A$1:$G$1,0))</f>
        <v>2.5</v>
      </c>
      <c r="N978" s="4">
        <f>INDEX(products!$A$1:$G$49,MATCH(orders!$D978,products!$A$1:$A$49,0),MATCH(orders!N$1,products!$A$1:$G$1,0))</f>
        <v>27.484999999999996</v>
      </c>
      <c r="O978" s="13">
        <f t="shared" si="75"/>
        <v>137.42499999999998</v>
      </c>
      <c r="P978" s="13">
        <f>_xlfn.XLOOKUP(Orders[[#This Row],[Product ID]],products!$A$1:$A$49,products!$G$1:$G$49,,0)</f>
        <v>1.6490999999999998</v>
      </c>
      <c r="Q978" s="13">
        <f t="shared" si="76"/>
        <v>8.2454999999999998</v>
      </c>
      <c r="R978" t="str">
        <f t="shared" si="78"/>
        <v>Robusta</v>
      </c>
      <c r="S978" t="str">
        <f t="shared" si="79"/>
        <v>Light</v>
      </c>
      <c r="T978" t="str">
        <f>_xlfn.XLOOKUP(Orders[[#This Row],[Customer ID]],customers!$A$1:$A$1001,customers!$I$1:$I$1001,,0)</f>
        <v>Yes</v>
      </c>
    </row>
    <row r="979" spans="1:20" x14ac:dyDescent="0.35">
      <c r="A979" s="2" t="s">
        <v>6013</v>
      </c>
      <c r="B979" s="3">
        <v>44026</v>
      </c>
      <c r="C979" s="2" t="s">
        <v>6014</v>
      </c>
      <c r="D979" t="s">
        <v>6179</v>
      </c>
      <c r="E979" t="str">
        <f t="shared" si="77"/>
        <v>Robusta-Light-1</v>
      </c>
      <c r="F979" s="2">
        <v>5</v>
      </c>
      <c r="G979" s="2" t="str" cm="1">
        <f t="array" ref="G979">_xlfn.XLOOKUP(C979, customers!$A$1:A1978,customers!$B$1:B1978,,0)</f>
        <v>Mab Blakemore</v>
      </c>
      <c r="H979" s="2" t="str" cm="1">
        <f t="array" ref="H979">IF(_xlfn.XLOOKUP(C979,customers!$A$1:A1978,customers!$C$1:C1978,,0) = 0,"", _xlfn.XLOOKUP(C979,customers!$A$1:A1978,customers!$C$1:C1978,,0))</f>
        <v>mblakemorer5@nsw.gov.au</v>
      </c>
      <c r="I979" s="2" t="str">
        <f>_xlfn.XLOOKUP(C979,customers!$A$1:$A$1001,customers!$G$1:$G$1001,,0)</f>
        <v>United States</v>
      </c>
      <c r="J979" s="2" t="str">
        <f>_xlfn.XLOOKUP(Orders[[#This Row],[Customer ID]],customers!$A$1:$A$1001,customers!$F$1:$F$1001,,0)</f>
        <v>Amarillo</v>
      </c>
      <c r="K979" t="str">
        <f>INDEX(products!$A$1:$G$49,MATCH(orders!$D979,products!$A$1:$A$49,0),MATCH(orders!K$1,products!$A$1:$G$1,0))</f>
        <v>Rob</v>
      </c>
      <c r="L979" t="str">
        <f>INDEX(products!$A$1:$G$49,MATCH(orders!$D979,products!$A$1:$A$49,0),MATCH(orders!L$1,products!$A$1:$G$1,0))</f>
        <v>L</v>
      </c>
      <c r="M979" s="14">
        <f>INDEX(products!$A$1:$G$49,MATCH(orders!$D979,products!$A$1:$A$49,0),MATCH(orders!M$1,products!$A$1:$G$1,0))</f>
        <v>1</v>
      </c>
      <c r="N979" s="4">
        <f>INDEX(products!$A$1:$G$49,MATCH(orders!$D979,products!$A$1:$A$49,0),MATCH(orders!N$1,products!$A$1:$G$1,0))</f>
        <v>11.95</v>
      </c>
      <c r="O979" s="13">
        <f t="shared" si="75"/>
        <v>59.75</v>
      </c>
      <c r="P979" s="13">
        <f>_xlfn.XLOOKUP(Orders[[#This Row],[Product ID]],products!$A$1:$A$49,products!$G$1:$G$49,,0)</f>
        <v>0.71699999999999997</v>
      </c>
      <c r="Q979" s="13">
        <f t="shared" si="76"/>
        <v>3.585</v>
      </c>
      <c r="R979" t="str">
        <f t="shared" si="78"/>
        <v>Robusta</v>
      </c>
      <c r="S979" t="str">
        <f t="shared" si="79"/>
        <v>Light</v>
      </c>
      <c r="T979" t="str">
        <f>_xlfn.XLOOKUP(Orders[[#This Row],[Customer ID]],customers!$A$1:$A$1001,customers!$I$1:$I$1001,,0)</f>
        <v>No</v>
      </c>
    </row>
    <row r="980" spans="1:20" x14ac:dyDescent="0.35">
      <c r="A980" s="2" t="s">
        <v>6019</v>
      </c>
      <c r="B980" s="3">
        <v>43913</v>
      </c>
      <c r="C980" s="2" t="s">
        <v>5990</v>
      </c>
      <c r="D980" t="s">
        <v>6180</v>
      </c>
      <c r="E980" t="str">
        <f t="shared" si="77"/>
        <v>Arabica-Light-0.5</v>
      </c>
      <c r="F980" s="2">
        <v>3</v>
      </c>
      <c r="G980" s="2" t="str" cm="1">
        <f t="array" ref="G980">_xlfn.XLOOKUP(C980, customers!$A$1:A1979,customers!$B$1:B1979,,0)</f>
        <v>Charlean Keave</v>
      </c>
      <c r="H980" s="2" t="str" cm="1">
        <f t="array" ref="H980">IF(_xlfn.XLOOKUP(C980,customers!$A$1:A1979,customers!$C$1:C1979,,0) = 0,"", _xlfn.XLOOKUP(C980,customers!$A$1:A1979,customers!$C$1:C1979,,0))</f>
        <v>ckeaver1@ucoz.com</v>
      </c>
      <c r="I980" s="2" t="str">
        <f>_xlfn.XLOOKUP(C980,customers!$A$1:$A$1001,customers!$G$1:$G$1001,,0)</f>
        <v>United States</v>
      </c>
      <c r="J980" s="2" t="str">
        <f>_xlfn.XLOOKUP(Orders[[#This Row],[Customer ID]],customers!$A$1:$A$1001,customers!$F$1:$F$1001,,0)</f>
        <v>Pensacola</v>
      </c>
      <c r="K980" t="str">
        <f>INDEX(products!$A$1:$G$49,MATCH(orders!$D980,products!$A$1:$A$49,0),MATCH(orders!K$1,products!$A$1:$G$1,0))</f>
        <v>Ara</v>
      </c>
      <c r="L980" t="str">
        <f>INDEX(products!$A$1:$G$49,MATCH(orders!$D980,products!$A$1:$A$49,0),MATCH(orders!L$1,products!$A$1:$G$1,0))</f>
        <v>L</v>
      </c>
      <c r="M980" s="14">
        <f>INDEX(products!$A$1:$G$49,MATCH(orders!$D980,products!$A$1:$A$49,0),MATCH(orders!M$1,products!$A$1:$G$1,0))</f>
        <v>0.5</v>
      </c>
      <c r="N980" s="4">
        <f>INDEX(products!$A$1:$G$49,MATCH(orders!$D980,products!$A$1:$A$49,0),MATCH(orders!N$1,products!$A$1:$G$1,0))</f>
        <v>7.77</v>
      </c>
      <c r="O980" s="13">
        <f t="shared" si="75"/>
        <v>23.31</v>
      </c>
      <c r="P980" s="13">
        <f>_xlfn.XLOOKUP(Orders[[#This Row],[Product ID]],products!$A$1:$A$49,products!$G$1:$G$49,,0)</f>
        <v>0.69929999999999992</v>
      </c>
      <c r="Q980" s="13">
        <f t="shared" si="76"/>
        <v>2.0978999999999997</v>
      </c>
      <c r="R980" t="str">
        <f t="shared" si="78"/>
        <v>Arabica</v>
      </c>
      <c r="S980" t="str">
        <f t="shared" si="79"/>
        <v>Light</v>
      </c>
      <c r="T980" t="str">
        <f>_xlfn.XLOOKUP(Orders[[#This Row],[Customer ID]],customers!$A$1:$A$1001,customers!$I$1:$I$1001,,0)</f>
        <v>No</v>
      </c>
    </row>
    <row r="981" spans="1:20" x14ac:dyDescent="0.35">
      <c r="A981" s="2" t="s">
        <v>6025</v>
      </c>
      <c r="B981" s="3">
        <v>43856</v>
      </c>
      <c r="C981" s="2" t="s">
        <v>6026</v>
      </c>
      <c r="D981" t="s">
        <v>6172</v>
      </c>
      <c r="E981" t="str">
        <f t="shared" si="77"/>
        <v>Robusta-Dark-0.5</v>
      </c>
      <c r="F981" s="2">
        <v>2</v>
      </c>
      <c r="G981" s="2" t="str" cm="1">
        <f t="array" ref="G981">_xlfn.XLOOKUP(C981, customers!$A$1:A1980,customers!$B$1:B1980,,0)</f>
        <v>Javier Causnett</v>
      </c>
      <c r="H981" s="2" t="str" cm="1">
        <f t="array" ref="H981">IF(_xlfn.XLOOKUP(C981,customers!$A$1:A1980,customers!$C$1:C1980,,0) = 0,"", _xlfn.XLOOKUP(C981,customers!$A$1:A1980,customers!$C$1:C1980,,0))</f>
        <v/>
      </c>
      <c r="I981" s="2" t="str">
        <f>_xlfn.XLOOKUP(C981,customers!$A$1:$A$1001,customers!$G$1:$G$1001,,0)</f>
        <v>United States</v>
      </c>
      <c r="J981" s="2" t="str">
        <f>_xlfn.XLOOKUP(Orders[[#This Row],[Customer ID]],customers!$A$1:$A$1001,customers!$F$1:$F$1001,,0)</f>
        <v>Silver Spring</v>
      </c>
      <c r="K981" t="str">
        <f>INDEX(products!$A$1:$G$49,MATCH(orders!$D981,products!$A$1:$A$49,0),MATCH(orders!K$1,products!$A$1:$G$1,0))</f>
        <v>Rob</v>
      </c>
      <c r="L981" t="str">
        <f>INDEX(products!$A$1:$G$49,MATCH(orders!$D981,products!$A$1:$A$49,0),MATCH(orders!L$1,products!$A$1:$G$1,0))</f>
        <v>D</v>
      </c>
      <c r="M981" s="14">
        <f>INDEX(products!$A$1:$G$49,MATCH(orders!$D981,products!$A$1:$A$49,0),MATCH(orders!M$1,products!$A$1:$G$1,0))</f>
        <v>0.5</v>
      </c>
      <c r="N981" s="4">
        <f>INDEX(products!$A$1:$G$49,MATCH(orders!$D981,products!$A$1:$A$49,0),MATCH(orders!N$1,products!$A$1:$G$1,0))</f>
        <v>5.3699999999999992</v>
      </c>
      <c r="O981" s="13">
        <f t="shared" si="75"/>
        <v>10.739999999999998</v>
      </c>
      <c r="P981" s="13">
        <f>_xlfn.XLOOKUP(Orders[[#This Row],[Product ID]],products!$A$1:$A$49,products!$G$1:$G$49,,0)</f>
        <v>0.32219999999999993</v>
      </c>
      <c r="Q981" s="13">
        <f t="shared" si="76"/>
        <v>0.64439999999999986</v>
      </c>
      <c r="R981" t="str">
        <f t="shared" si="78"/>
        <v>Robusta</v>
      </c>
      <c r="S981" t="str">
        <f t="shared" si="79"/>
        <v>Dark</v>
      </c>
      <c r="T981" t="str">
        <f>_xlfn.XLOOKUP(Orders[[#This Row],[Customer ID]],customers!$A$1:$A$1001,customers!$I$1:$I$1001,,0)</f>
        <v>No</v>
      </c>
    </row>
    <row r="982" spans="1:20" x14ac:dyDescent="0.35">
      <c r="A982" s="2" t="s">
        <v>6030</v>
      </c>
      <c r="B982" s="3">
        <v>43982</v>
      </c>
      <c r="C982" s="2" t="s">
        <v>6031</v>
      </c>
      <c r="D982" t="s">
        <v>6185</v>
      </c>
      <c r="E982" t="str">
        <f t="shared" si="77"/>
        <v>Excelsa-Dark-2.5</v>
      </c>
      <c r="F982" s="2">
        <v>6</v>
      </c>
      <c r="G982" s="2" t="str" cm="1">
        <f t="array" ref="G982">_xlfn.XLOOKUP(C982, customers!$A$1:A1981,customers!$B$1:B1981,,0)</f>
        <v>Demetris Micheli</v>
      </c>
      <c r="H982" s="2" t="str" cm="1">
        <f t="array" ref="H982">IF(_xlfn.XLOOKUP(C982,customers!$A$1:A1981,customers!$C$1:C1981,,0) = 0,"", _xlfn.XLOOKUP(C982,customers!$A$1:A1981,customers!$C$1:C1981,,0))</f>
        <v/>
      </c>
      <c r="I982" s="2" t="str">
        <f>_xlfn.XLOOKUP(C982,customers!$A$1:$A$1001,customers!$G$1:$G$1001,,0)</f>
        <v>United States</v>
      </c>
      <c r="J982" s="2" t="str">
        <f>_xlfn.XLOOKUP(Orders[[#This Row],[Customer ID]],customers!$A$1:$A$1001,customers!$F$1:$F$1001,,0)</f>
        <v>Madison</v>
      </c>
      <c r="K982" t="str">
        <f>INDEX(products!$A$1:$G$49,MATCH(orders!$D982,products!$A$1:$A$49,0),MATCH(orders!K$1,products!$A$1:$G$1,0))</f>
        <v>Exc</v>
      </c>
      <c r="L982" t="str">
        <f>INDEX(products!$A$1:$G$49,MATCH(orders!$D982,products!$A$1:$A$49,0),MATCH(orders!L$1,products!$A$1:$G$1,0))</f>
        <v>D</v>
      </c>
      <c r="M982" s="14">
        <f>INDEX(products!$A$1:$G$49,MATCH(orders!$D982,products!$A$1:$A$49,0),MATCH(orders!M$1,products!$A$1:$G$1,0))</f>
        <v>2.5</v>
      </c>
      <c r="N982" s="4">
        <f>INDEX(products!$A$1:$G$49,MATCH(orders!$D982,products!$A$1:$A$49,0),MATCH(orders!N$1,products!$A$1:$G$1,0))</f>
        <v>27.945</v>
      </c>
      <c r="O982" s="13">
        <f t="shared" si="75"/>
        <v>167.67000000000002</v>
      </c>
      <c r="P982" s="13">
        <f>_xlfn.XLOOKUP(Orders[[#This Row],[Product ID]],products!$A$1:$A$49,products!$G$1:$G$49,,0)</f>
        <v>3.07395</v>
      </c>
      <c r="Q982" s="13">
        <f t="shared" si="76"/>
        <v>18.4437</v>
      </c>
      <c r="R982" t="str">
        <f t="shared" si="78"/>
        <v>Execelsa</v>
      </c>
      <c r="S982" t="str">
        <f t="shared" si="79"/>
        <v>Dark</v>
      </c>
      <c r="T982" t="str">
        <f>_xlfn.XLOOKUP(Orders[[#This Row],[Customer ID]],customers!$A$1:$A$1001,customers!$I$1:$I$1001,,0)</f>
        <v>Yes</v>
      </c>
    </row>
    <row r="983" spans="1:20" x14ac:dyDescent="0.35">
      <c r="A983" s="2" t="s">
        <v>6035</v>
      </c>
      <c r="B983" s="3">
        <v>44397</v>
      </c>
      <c r="C983" s="2" t="s">
        <v>6036</v>
      </c>
      <c r="D983" t="s">
        <v>6153</v>
      </c>
      <c r="E983" t="str">
        <f t="shared" si="77"/>
        <v>Excelsa-Dark-0.2</v>
      </c>
      <c r="F983" s="2">
        <v>6</v>
      </c>
      <c r="G983" s="2" t="str" cm="1">
        <f t="array" ref="G983">_xlfn.XLOOKUP(C983, customers!$A$1:A1982,customers!$B$1:B1982,,0)</f>
        <v>Chloette Bernardot</v>
      </c>
      <c r="H983" s="2" t="str" cm="1">
        <f t="array" ref="H983">IF(_xlfn.XLOOKUP(C983,customers!$A$1:A1982,customers!$C$1:C1982,,0) = 0,"", _xlfn.XLOOKUP(C983,customers!$A$1:A1982,customers!$C$1:C1982,,0))</f>
        <v>cbernardotr9@wix.com</v>
      </c>
      <c r="I983" s="2" t="str">
        <f>_xlfn.XLOOKUP(C983,customers!$A$1:$A$1001,customers!$G$1:$G$1001,,0)</f>
        <v>United States</v>
      </c>
      <c r="J983" s="2" t="str">
        <f>_xlfn.XLOOKUP(Orders[[#This Row],[Customer ID]],customers!$A$1:$A$1001,customers!$F$1:$F$1001,,0)</f>
        <v>Conroe</v>
      </c>
      <c r="K983" t="str">
        <f>INDEX(products!$A$1:$G$49,MATCH(orders!$D983,products!$A$1:$A$49,0),MATCH(orders!K$1,products!$A$1:$G$1,0))</f>
        <v>Exc</v>
      </c>
      <c r="L983" t="str">
        <f>INDEX(products!$A$1:$G$49,MATCH(orders!$D983,products!$A$1:$A$49,0),MATCH(orders!L$1,products!$A$1:$G$1,0))</f>
        <v>D</v>
      </c>
      <c r="M983" s="14">
        <f>INDEX(products!$A$1:$G$49,MATCH(orders!$D983,products!$A$1:$A$49,0),MATCH(orders!M$1,products!$A$1:$G$1,0))</f>
        <v>0.2</v>
      </c>
      <c r="N983" s="4">
        <f>INDEX(products!$A$1:$G$49,MATCH(orders!$D983,products!$A$1:$A$49,0),MATCH(orders!N$1,products!$A$1:$G$1,0))</f>
        <v>3.645</v>
      </c>
      <c r="O983" s="13">
        <f t="shared" si="75"/>
        <v>21.87</v>
      </c>
      <c r="P983" s="13">
        <f>_xlfn.XLOOKUP(Orders[[#This Row],[Product ID]],products!$A$1:$A$49,products!$G$1:$G$49,,0)</f>
        <v>0.40095000000000003</v>
      </c>
      <c r="Q983" s="13">
        <f t="shared" si="76"/>
        <v>2.4057000000000004</v>
      </c>
      <c r="R983" t="str">
        <f t="shared" si="78"/>
        <v>Execelsa</v>
      </c>
      <c r="S983" t="str">
        <f t="shared" si="79"/>
        <v>Dark</v>
      </c>
      <c r="T983" t="str">
        <f>_xlfn.XLOOKUP(Orders[[#This Row],[Customer ID]],customers!$A$1:$A$1001,customers!$I$1:$I$1001,,0)</f>
        <v>Yes</v>
      </c>
    </row>
    <row r="984" spans="1:20" x14ac:dyDescent="0.35">
      <c r="A984" s="2" t="s">
        <v>6041</v>
      </c>
      <c r="B984" s="3">
        <v>44785</v>
      </c>
      <c r="C984" s="2" t="s">
        <v>6042</v>
      </c>
      <c r="D984" t="s">
        <v>6179</v>
      </c>
      <c r="E984" t="str">
        <f t="shared" si="77"/>
        <v>Robusta-Light-1</v>
      </c>
      <c r="F984" s="2">
        <v>2</v>
      </c>
      <c r="G984" s="2" t="str" cm="1">
        <f t="array" ref="G984">_xlfn.XLOOKUP(C984, customers!$A$1:A1983,customers!$B$1:B1983,,0)</f>
        <v>Kim Kemery</v>
      </c>
      <c r="H984" s="2" t="str" cm="1">
        <f t="array" ref="H984">IF(_xlfn.XLOOKUP(C984,customers!$A$1:A1983,customers!$C$1:C1983,,0) = 0,"", _xlfn.XLOOKUP(C984,customers!$A$1:A1983,customers!$C$1:C1983,,0))</f>
        <v>kkemeryra@t.co</v>
      </c>
      <c r="I984" s="2" t="str">
        <f>_xlfn.XLOOKUP(C984,customers!$A$1:$A$1001,customers!$G$1:$G$1001,,0)</f>
        <v>United States</v>
      </c>
      <c r="J984" s="2" t="str">
        <f>_xlfn.XLOOKUP(Orders[[#This Row],[Customer ID]],customers!$A$1:$A$1001,customers!$F$1:$F$1001,,0)</f>
        <v>Denton</v>
      </c>
      <c r="K984" t="str">
        <f>INDEX(products!$A$1:$G$49,MATCH(orders!$D984,products!$A$1:$A$49,0),MATCH(orders!K$1,products!$A$1:$G$1,0))</f>
        <v>Rob</v>
      </c>
      <c r="L984" t="str">
        <f>INDEX(products!$A$1:$G$49,MATCH(orders!$D984,products!$A$1:$A$49,0),MATCH(orders!L$1,products!$A$1:$G$1,0))</f>
        <v>L</v>
      </c>
      <c r="M984" s="14">
        <f>INDEX(products!$A$1:$G$49,MATCH(orders!$D984,products!$A$1:$A$49,0),MATCH(orders!M$1,products!$A$1:$G$1,0))</f>
        <v>1</v>
      </c>
      <c r="N984" s="4">
        <f>INDEX(products!$A$1:$G$49,MATCH(orders!$D984,products!$A$1:$A$49,0),MATCH(orders!N$1,products!$A$1:$G$1,0))</f>
        <v>11.95</v>
      </c>
      <c r="O984" s="13">
        <f t="shared" si="75"/>
        <v>23.9</v>
      </c>
      <c r="P984" s="13">
        <f>_xlfn.XLOOKUP(Orders[[#This Row],[Product ID]],products!$A$1:$A$49,products!$G$1:$G$49,,0)</f>
        <v>0.71699999999999997</v>
      </c>
      <c r="Q984" s="13">
        <f t="shared" si="76"/>
        <v>1.4339999999999999</v>
      </c>
      <c r="R984" t="str">
        <f t="shared" si="78"/>
        <v>Robusta</v>
      </c>
      <c r="S984" t="str">
        <f t="shared" si="79"/>
        <v>Light</v>
      </c>
      <c r="T984" t="str">
        <f>_xlfn.XLOOKUP(Orders[[#This Row],[Customer ID]],customers!$A$1:$A$1001,customers!$I$1:$I$1001,,0)</f>
        <v>Yes</v>
      </c>
    </row>
    <row r="985" spans="1:20" x14ac:dyDescent="0.35">
      <c r="A985" s="2" t="s">
        <v>6047</v>
      </c>
      <c r="B985" s="3">
        <v>43831</v>
      </c>
      <c r="C985" s="2" t="s">
        <v>6048</v>
      </c>
      <c r="D985" t="s">
        <v>6152</v>
      </c>
      <c r="E985" t="str">
        <f t="shared" si="77"/>
        <v>Arabica-Medium-0.2</v>
      </c>
      <c r="F985" s="2">
        <v>2</v>
      </c>
      <c r="G985" s="2" t="str" cm="1">
        <f t="array" ref="G985">_xlfn.XLOOKUP(C985, customers!$A$1:A1984,customers!$B$1:B1984,,0)</f>
        <v>Fanchette Parlot</v>
      </c>
      <c r="H985" s="2" t="str" cm="1">
        <f t="array" ref="H985">IF(_xlfn.XLOOKUP(C985,customers!$A$1:A1984,customers!$C$1:C1984,,0) = 0,"", _xlfn.XLOOKUP(C985,customers!$A$1:A1984,customers!$C$1:C1984,,0))</f>
        <v>fparlotrb@forbes.com</v>
      </c>
      <c r="I985" s="2" t="str">
        <f>_xlfn.XLOOKUP(C985,customers!$A$1:$A$1001,customers!$G$1:$G$1001,,0)</f>
        <v>United States</v>
      </c>
      <c r="J985" s="2" t="str">
        <f>_xlfn.XLOOKUP(Orders[[#This Row],[Customer ID]],customers!$A$1:$A$1001,customers!$F$1:$F$1001,,0)</f>
        <v>Columbus</v>
      </c>
      <c r="K985" t="str">
        <f>INDEX(products!$A$1:$G$49,MATCH(orders!$D985,products!$A$1:$A$49,0),MATCH(orders!K$1,products!$A$1:$G$1,0))</f>
        <v>Ara</v>
      </c>
      <c r="L985" t="str">
        <f>INDEX(products!$A$1:$G$49,MATCH(orders!$D985,products!$A$1:$A$49,0),MATCH(orders!L$1,products!$A$1:$G$1,0))</f>
        <v>M</v>
      </c>
      <c r="M985" s="14">
        <f>INDEX(products!$A$1:$G$49,MATCH(orders!$D985,products!$A$1:$A$49,0),MATCH(orders!M$1,products!$A$1:$G$1,0))</f>
        <v>0.2</v>
      </c>
      <c r="N985" s="4">
        <f>INDEX(products!$A$1:$G$49,MATCH(orders!$D985,products!$A$1:$A$49,0),MATCH(orders!N$1,products!$A$1:$G$1,0))</f>
        <v>3.375</v>
      </c>
      <c r="O985" s="13">
        <f t="shared" si="75"/>
        <v>6.75</v>
      </c>
      <c r="P985" s="13">
        <f>_xlfn.XLOOKUP(Orders[[#This Row],[Product ID]],products!$A$1:$A$49,products!$G$1:$G$49,,0)</f>
        <v>0.30374999999999996</v>
      </c>
      <c r="Q985" s="13">
        <f t="shared" si="76"/>
        <v>0.60749999999999993</v>
      </c>
      <c r="R985" t="str">
        <f t="shared" si="78"/>
        <v>Arabica</v>
      </c>
      <c r="S985" t="str">
        <f t="shared" si="79"/>
        <v>Medium</v>
      </c>
      <c r="T985" t="str">
        <f>_xlfn.XLOOKUP(Orders[[#This Row],[Customer ID]],customers!$A$1:$A$1001,customers!$I$1:$I$1001,,0)</f>
        <v>Yes</v>
      </c>
    </row>
    <row r="986" spans="1:20" x14ac:dyDescent="0.35">
      <c r="A986" s="2" t="s">
        <v>6053</v>
      </c>
      <c r="B986" s="3">
        <v>44214</v>
      </c>
      <c r="C986" s="2" t="s">
        <v>6054</v>
      </c>
      <c r="D986" t="s">
        <v>6166</v>
      </c>
      <c r="E986" t="str">
        <f t="shared" si="77"/>
        <v>Excelsa-Medium-2.5</v>
      </c>
      <c r="F986" s="2">
        <v>1</v>
      </c>
      <c r="G986" s="2" t="str" cm="1">
        <f t="array" ref="G986">_xlfn.XLOOKUP(C986, customers!$A$1:A1985,customers!$B$1:B1985,,0)</f>
        <v>Ramon Cheak</v>
      </c>
      <c r="H986" s="2" t="str" cm="1">
        <f t="array" ref="H986">IF(_xlfn.XLOOKUP(C986,customers!$A$1:A1985,customers!$C$1:C1985,,0) = 0,"", _xlfn.XLOOKUP(C986,customers!$A$1:A1985,customers!$C$1:C1985,,0))</f>
        <v>rcheakrc@tripadvisor.com</v>
      </c>
      <c r="I986" s="2" t="str">
        <f>_xlfn.XLOOKUP(C986,customers!$A$1:$A$1001,customers!$G$1:$G$1001,,0)</f>
        <v>Ireland</v>
      </c>
      <c r="J986" s="2" t="str">
        <f>_xlfn.XLOOKUP(Orders[[#This Row],[Customer ID]],customers!$A$1:$A$1001,customers!$F$1:$F$1001,,0)</f>
        <v>Bundoran</v>
      </c>
      <c r="K986" t="str">
        <f>INDEX(products!$A$1:$G$49,MATCH(orders!$D986,products!$A$1:$A$49,0),MATCH(orders!K$1,products!$A$1:$G$1,0))</f>
        <v>Exc</v>
      </c>
      <c r="L986" t="str">
        <f>INDEX(products!$A$1:$G$49,MATCH(orders!$D986,products!$A$1:$A$49,0),MATCH(orders!L$1,products!$A$1:$G$1,0))</f>
        <v>M</v>
      </c>
      <c r="M986" s="14">
        <f>INDEX(products!$A$1:$G$49,MATCH(orders!$D986,products!$A$1:$A$49,0),MATCH(orders!M$1,products!$A$1:$G$1,0))</f>
        <v>2.5</v>
      </c>
      <c r="N986" s="4">
        <f>INDEX(products!$A$1:$G$49,MATCH(orders!$D986,products!$A$1:$A$49,0),MATCH(orders!N$1,products!$A$1:$G$1,0))</f>
        <v>31.624999999999996</v>
      </c>
      <c r="O986" s="13">
        <f t="shared" si="75"/>
        <v>31.624999999999996</v>
      </c>
      <c r="P986" s="13">
        <f>_xlfn.XLOOKUP(Orders[[#This Row],[Product ID]],products!$A$1:$A$49,products!$G$1:$G$49,,0)</f>
        <v>3.4787499999999998</v>
      </c>
      <c r="Q986" s="13">
        <f t="shared" si="76"/>
        <v>3.4787499999999998</v>
      </c>
      <c r="R986" t="str">
        <f t="shared" si="78"/>
        <v>Execelsa</v>
      </c>
      <c r="S986" t="str">
        <f t="shared" si="79"/>
        <v>Medium</v>
      </c>
      <c r="T986" t="str">
        <f>_xlfn.XLOOKUP(Orders[[#This Row],[Customer ID]],customers!$A$1:$A$1001,customers!$I$1:$I$1001,,0)</f>
        <v>Yes</v>
      </c>
    </row>
    <row r="987" spans="1:20" x14ac:dyDescent="0.35">
      <c r="A987" s="2" t="s">
        <v>6058</v>
      </c>
      <c r="B987" s="3">
        <v>44561</v>
      </c>
      <c r="C987" s="2" t="s">
        <v>6059</v>
      </c>
      <c r="D987" t="s">
        <v>6179</v>
      </c>
      <c r="E987" t="str">
        <f t="shared" si="77"/>
        <v>Robusta-Light-1</v>
      </c>
      <c r="F987" s="2">
        <v>4</v>
      </c>
      <c r="G987" s="2" t="str" cm="1">
        <f t="array" ref="G987">_xlfn.XLOOKUP(C987, customers!$A$1:A1986,customers!$B$1:B1986,,0)</f>
        <v>Koressa O'Geneay</v>
      </c>
      <c r="H987" s="2" t="str" cm="1">
        <f t="array" ref="H987">IF(_xlfn.XLOOKUP(C987,customers!$A$1:A1986,customers!$C$1:C1986,,0) = 0,"", _xlfn.XLOOKUP(C987,customers!$A$1:A1986,customers!$C$1:C1986,,0))</f>
        <v>kogeneayrd@utexas.edu</v>
      </c>
      <c r="I987" s="2" t="str">
        <f>_xlfn.XLOOKUP(C987,customers!$A$1:$A$1001,customers!$G$1:$G$1001,,0)</f>
        <v>United States</v>
      </c>
      <c r="J987" s="2" t="str">
        <f>_xlfn.XLOOKUP(Orders[[#This Row],[Customer ID]],customers!$A$1:$A$1001,customers!$F$1:$F$1001,,0)</f>
        <v>Aurora</v>
      </c>
      <c r="K987" t="str">
        <f>INDEX(products!$A$1:$G$49,MATCH(orders!$D987,products!$A$1:$A$49,0),MATCH(orders!K$1,products!$A$1:$G$1,0))</f>
        <v>Rob</v>
      </c>
      <c r="L987" t="str">
        <f>INDEX(products!$A$1:$G$49,MATCH(orders!$D987,products!$A$1:$A$49,0),MATCH(orders!L$1,products!$A$1:$G$1,0))</f>
        <v>L</v>
      </c>
      <c r="M987" s="14">
        <f>INDEX(products!$A$1:$G$49,MATCH(orders!$D987,products!$A$1:$A$49,0),MATCH(orders!M$1,products!$A$1:$G$1,0))</f>
        <v>1</v>
      </c>
      <c r="N987" s="4">
        <f>INDEX(products!$A$1:$G$49,MATCH(orders!$D987,products!$A$1:$A$49,0),MATCH(orders!N$1,products!$A$1:$G$1,0))</f>
        <v>11.95</v>
      </c>
      <c r="O987" s="13">
        <f t="shared" si="75"/>
        <v>47.8</v>
      </c>
      <c r="P987" s="13">
        <f>_xlfn.XLOOKUP(Orders[[#This Row],[Product ID]],products!$A$1:$A$49,products!$G$1:$G$49,,0)</f>
        <v>0.71699999999999997</v>
      </c>
      <c r="Q987" s="13">
        <f t="shared" si="76"/>
        <v>2.8679999999999999</v>
      </c>
      <c r="R987" t="str">
        <f t="shared" si="78"/>
        <v>Robusta</v>
      </c>
      <c r="S987" t="str">
        <f t="shared" si="79"/>
        <v>Light</v>
      </c>
      <c r="T987" t="str">
        <f>_xlfn.XLOOKUP(Orders[[#This Row],[Customer ID]],customers!$A$1:$A$1001,customers!$I$1:$I$1001,,0)</f>
        <v>No</v>
      </c>
    </row>
    <row r="988" spans="1:20" x14ac:dyDescent="0.35">
      <c r="A988" s="2" t="s">
        <v>6064</v>
      </c>
      <c r="B988" s="3">
        <v>43955</v>
      </c>
      <c r="C988" s="2" t="s">
        <v>6065</v>
      </c>
      <c r="D988" t="s">
        <v>6181</v>
      </c>
      <c r="E988" t="str">
        <f t="shared" si="77"/>
        <v>Liberica-Medium-2.5</v>
      </c>
      <c r="F988" s="2">
        <v>1</v>
      </c>
      <c r="G988" s="2" t="str" cm="1">
        <f t="array" ref="G988">_xlfn.XLOOKUP(C988, customers!$A$1:A1987,customers!$B$1:B1987,,0)</f>
        <v>Claudell Ayre</v>
      </c>
      <c r="H988" s="2" t="str" cm="1">
        <f t="array" ref="H988">IF(_xlfn.XLOOKUP(C988,customers!$A$1:A1987,customers!$C$1:C1987,,0) = 0,"", _xlfn.XLOOKUP(C988,customers!$A$1:A1987,customers!$C$1:C1987,,0))</f>
        <v>cayrere@symantec.com</v>
      </c>
      <c r="I988" s="2" t="str">
        <f>_xlfn.XLOOKUP(C988,customers!$A$1:$A$1001,customers!$G$1:$G$1001,,0)</f>
        <v>United States</v>
      </c>
      <c r="J988" s="2" t="str">
        <f>_xlfn.XLOOKUP(Orders[[#This Row],[Customer ID]],customers!$A$1:$A$1001,customers!$F$1:$F$1001,,0)</f>
        <v>Daytona Beach</v>
      </c>
      <c r="K988" t="str">
        <f>INDEX(products!$A$1:$G$49,MATCH(orders!$D988,products!$A$1:$A$49,0),MATCH(orders!K$1,products!$A$1:$G$1,0))</f>
        <v>Lib</v>
      </c>
      <c r="L988" t="str">
        <f>INDEX(products!$A$1:$G$49,MATCH(orders!$D988,products!$A$1:$A$49,0),MATCH(orders!L$1,products!$A$1:$G$1,0))</f>
        <v>M</v>
      </c>
      <c r="M988" s="14">
        <f>INDEX(products!$A$1:$G$49,MATCH(orders!$D988,products!$A$1:$A$49,0),MATCH(orders!M$1,products!$A$1:$G$1,0))</f>
        <v>2.5</v>
      </c>
      <c r="N988" s="4">
        <f>INDEX(products!$A$1:$G$49,MATCH(orders!$D988,products!$A$1:$A$49,0),MATCH(orders!N$1,products!$A$1:$G$1,0))</f>
        <v>33.464999999999996</v>
      </c>
      <c r="O988" s="13">
        <f t="shared" si="75"/>
        <v>33.464999999999996</v>
      </c>
      <c r="P988" s="13">
        <f>_xlfn.XLOOKUP(Orders[[#This Row],[Product ID]],products!$A$1:$A$49,products!$G$1:$G$49,,0)</f>
        <v>4.3504499999999995</v>
      </c>
      <c r="Q988" s="13">
        <f t="shared" si="76"/>
        <v>4.3504499999999995</v>
      </c>
      <c r="R988" t="str">
        <f t="shared" si="78"/>
        <v>Liberica</v>
      </c>
      <c r="S988" t="str">
        <f t="shared" si="79"/>
        <v>Medium</v>
      </c>
      <c r="T988" t="str">
        <f>_xlfn.XLOOKUP(Orders[[#This Row],[Customer ID]],customers!$A$1:$A$1001,customers!$I$1:$I$1001,,0)</f>
        <v>No</v>
      </c>
    </row>
    <row r="989" spans="1:20" x14ac:dyDescent="0.35">
      <c r="A989" s="2" t="s">
        <v>6070</v>
      </c>
      <c r="B989" s="3">
        <v>44247</v>
      </c>
      <c r="C989" s="2" t="s">
        <v>6071</v>
      </c>
      <c r="D989" t="s">
        <v>6158</v>
      </c>
      <c r="E989" t="str">
        <f t="shared" si="77"/>
        <v>Arabica-Dark-0.5</v>
      </c>
      <c r="F989" s="2">
        <v>5</v>
      </c>
      <c r="G989" s="2" t="str" cm="1">
        <f t="array" ref="G989">_xlfn.XLOOKUP(C989, customers!$A$1:A1988,customers!$B$1:B1988,,0)</f>
        <v>Lorianne Kyneton</v>
      </c>
      <c r="H989" s="2" t="str" cm="1">
        <f t="array" ref="H989">IF(_xlfn.XLOOKUP(C989,customers!$A$1:A1988,customers!$C$1:C1988,,0) = 0,"", _xlfn.XLOOKUP(C989,customers!$A$1:A1988,customers!$C$1:C1988,,0))</f>
        <v>lkynetonrf@macromedia.com</v>
      </c>
      <c r="I989" s="2" t="str">
        <f>_xlfn.XLOOKUP(C989,customers!$A$1:$A$1001,customers!$G$1:$G$1001,,0)</f>
        <v>United Kingdom</v>
      </c>
      <c r="J989" s="2" t="str">
        <f>_xlfn.XLOOKUP(Orders[[#This Row],[Customer ID]],customers!$A$1:$A$1001,customers!$F$1:$F$1001,,0)</f>
        <v>Seaton</v>
      </c>
      <c r="K989" t="str">
        <f>INDEX(products!$A$1:$G$49,MATCH(orders!$D989,products!$A$1:$A$49,0),MATCH(orders!K$1,products!$A$1:$G$1,0))</f>
        <v>Ara</v>
      </c>
      <c r="L989" t="str">
        <f>INDEX(products!$A$1:$G$49,MATCH(orders!$D989,products!$A$1:$A$49,0),MATCH(orders!L$1,products!$A$1:$G$1,0))</f>
        <v>D</v>
      </c>
      <c r="M989" s="14">
        <f>INDEX(products!$A$1:$G$49,MATCH(orders!$D989,products!$A$1:$A$49,0),MATCH(orders!M$1,products!$A$1:$G$1,0))</f>
        <v>0.5</v>
      </c>
      <c r="N989" s="4">
        <f>INDEX(products!$A$1:$G$49,MATCH(orders!$D989,products!$A$1:$A$49,0),MATCH(orders!N$1,products!$A$1:$G$1,0))</f>
        <v>5.97</v>
      </c>
      <c r="O989" s="13">
        <f t="shared" si="75"/>
        <v>29.849999999999998</v>
      </c>
      <c r="P989" s="13">
        <f>_xlfn.XLOOKUP(Orders[[#This Row],[Product ID]],products!$A$1:$A$49,products!$G$1:$G$49,,0)</f>
        <v>0.5373</v>
      </c>
      <c r="Q989" s="13">
        <f t="shared" si="76"/>
        <v>2.6865000000000001</v>
      </c>
      <c r="R989" t="str">
        <f t="shared" si="78"/>
        <v>Arabica</v>
      </c>
      <c r="S989" t="str">
        <f t="shared" si="79"/>
        <v>Dark</v>
      </c>
      <c r="T989" t="str">
        <f>_xlfn.XLOOKUP(Orders[[#This Row],[Customer ID]],customers!$A$1:$A$1001,customers!$I$1:$I$1001,,0)</f>
        <v>Yes</v>
      </c>
    </row>
    <row r="990" spans="1:20" x14ac:dyDescent="0.35">
      <c r="A990" s="2" t="s">
        <v>6076</v>
      </c>
      <c r="B990" s="3">
        <v>43897</v>
      </c>
      <c r="C990" s="2" t="s">
        <v>6077</v>
      </c>
      <c r="D990" t="s">
        <v>6138</v>
      </c>
      <c r="E990" t="str">
        <f t="shared" si="77"/>
        <v>Robusta-Medium-1</v>
      </c>
      <c r="F990" s="2">
        <v>3</v>
      </c>
      <c r="G990" s="2" t="str" cm="1">
        <f t="array" ref="G990">_xlfn.XLOOKUP(C990, customers!$A$1:A1989,customers!$B$1:B1989,,0)</f>
        <v>Adele McFayden</v>
      </c>
      <c r="H990" s="2" t="str" cm="1">
        <f t="array" ref="H990">IF(_xlfn.XLOOKUP(C990,customers!$A$1:A1989,customers!$C$1:C1989,,0) = 0,"", _xlfn.XLOOKUP(C990,customers!$A$1:A1989,customers!$C$1:C1989,,0))</f>
        <v/>
      </c>
      <c r="I990" s="2" t="str">
        <f>_xlfn.XLOOKUP(C990,customers!$A$1:$A$1001,customers!$G$1:$G$1001,,0)</f>
        <v>United Kingdom</v>
      </c>
      <c r="J990" s="2" t="str">
        <f>_xlfn.XLOOKUP(Orders[[#This Row],[Customer ID]],customers!$A$1:$A$1001,customers!$F$1:$F$1001,,0)</f>
        <v>Wirral</v>
      </c>
      <c r="K990" t="str">
        <f>INDEX(products!$A$1:$G$49,MATCH(orders!$D990,products!$A$1:$A$49,0),MATCH(orders!K$1,products!$A$1:$G$1,0))</f>
        <v>Rob</v>
      </c>
      <c r="L990" t="str">
        <f>INDEX(products!$A$1:$G$49,MATCH(orders!$D990,products!$A$1:$A$49,0),MATCH(orders!L$1,products!$A$1:$G$1,0))</f>
        <v>M</v>
      </c>
      <c r="M990" s="14">
        <f>INDEX(products!$A$1:$G$49,MATCH(orders!$D990,products!$A$1:$A$49,0),MATCH(orders!M$1,products!$A$1:$G$1,0))</f>
        <v>1</v>
      </c>
      <c r="N990" s="4">
        <f>INDEX(products!$A$1:$G$49,MATCH(orders!$D990,products!$A$1:$A$49,0),MATCH(orders!N$1,products!$A$1:$G$1,0))</f>
        <v>9.9499999999999993</v>
      </c>
      <c r="O990" s="13">
        <f t="shared" si="75"/>
        <v>29.849999999999998</v>
      </c>
      <c r="P990" s="13">
        <f>_xlfn.XLOOKUP(Orders[[#This Row],[Product ID]],products!$A$1:$A$49,products!$G$1:$G$49,,0)</f>
        <v>0.59699999999999998</v>
      </c>
      <c r="Q990" s="13">
        <f t="shared" si="76"/>
        <v>1.7909999999999999</v>
      </c>
      <c r="R990" t="str">
        <f t="shared" si="78"/>
        <v>Robusta</v>
      </c>
      <c r="S990" t="str">
        <f t="shared" si="79"/>
        <v>Medium</v>
      </c>
      <c r="T990" t="str">
        <f>_xlfn.XLOOKUP(Orders[[#This Row],[Customer ID]],customers!$A$1:$A$1001,customers!$I$1:$I$1001,,0)</f>
        <v>Yes</v>
      </c>
    </row>
    <row r="991" spans="1:20" x14ac:dyDescent="0.35">
      <c r="A991" s="2" t="s">
        <v>6081</v>
      </c>
      <c r="B991" s="3">
        <v>43560</v>
      </c>
      <c r="C991" s="2" t="s">
        <v>6082</v>
      </c>
      <c r="D991" t="s">
        <v>6175</v>
      </c>
      <c r="E991" t="str">
        <f t="shared" si="77"/>
        <v>Arabica-Medium-2.5</v>
      </c>
      <c r="F991" s="2">
        <v>6</v>
      </c>
      <c r="G991" s="2" t="str" cm="1">
        <f t="array" ref="G991">_xlfn.XLOOKUP(C991, customers!$A$1:A1990,customers!$B$1:B1990,,0)</f>
        <v>Herta Layne</v>
      </c>
      <c r="H991" s="2" t="str" cm="1">
        <f t="array" ref="H991">IF(_xlfn.XLOOKUP(C991,customers!$A$1:A1990,customers!$C$1:C1990,,0) = 0,"", _xlfn.XLOOKUP(C991,customers!$A$1:A1990,customers!$C$1:C1990,,0))</f>
        <v/>
      </c>
      <c r="I991" s="2" t="str">
        <f>_xlfn.XLOOKUP(C991,customers!$A$1:$A$1001,customers!$G$1:$G$1001,,0)</f>
        <v>United States</v>
      </c>
      <c r="J991" s="2" t="str">
        <f>_xlfn.XLOOKUP(Orders[[#This Row],[Customer ID]],customers!$A$1:$A$1001,customers!$F$1:$F$1001,,0)</f>
        <v>Saint Louis</v>
      </c>
      <c r="K991" t="str">
        <f>INDEX(products!$A$1:$G$49,MATCH(orders!$D991,products!$A$1:$A$49,0),MATCH(orders!K$1,products!$A$1:$G$1,0))</f>
        <v>Ara</v>
      </c>
      <c r="L991" t="str">
        <f>INDEX(products!$A$1:$G$49,MATCH(orders!$D991,products!$A$1:$A$49,0),MATCH(orders!L$1,products!$A$1:$G$1,0))</f>
        <v>M</v>
      </c>
      <c r="M991" s="14">
        <f>INDEX(products!$A$1:$G$49,MATCH(orders!$D991,products!$A$1:$A$49,0),MATCH(orders!M$1,products!$A$1:$G$1,0))</f>
        <v>2.5</v>
      </c>
      <c r="N991" s="4">
        <f>INDEX(products!$A$1:$G$49,MATCH(orders!$D991,products!$A$1:$A$49,0),MATCH(orders!N$1,products!$A$1:$G$1,0))</f>
        <v>25.874999999999996</v>
      </c>
      <c r="O991" s="13">
        <f t="shared" si="75"/>
        <v>155.24999999999997</v>
      </c>
      <c r="P991" s="13">
        <f>_xlfn.XLOOKUP(Orders[[#This Row],[Product ID]],products!$A$1:$A$49,products!$G$1:$G$49,,0)</f>
        <v>2.3287499999999994</v>
      </c>
      <c r="Q991" s="13">
        <f t="shared" si="76"/>
        <v>13.972499999999997</v>
      </c>
      <c r="R991" t="str">
        <f t="shared" si="78"/>
        <v>Arabica</v>
      </c>
      <c r="S991" t="str">
        <f t="shared" si="79"/>
        <v>Medium</v>
      </c>
      <c r="T991" t="str">
        <f>_xlfn.XLOOKUP(Orders[[#This Row],[Customer ID]],customers!$A$1:$A$1001,customers!$I$1:$I$1001,,0)</f>
        <v>Yes</v>
      </c>
    </row>
    <row r="992" spans="1:20" x14ac:dyDescent="0.35">
      <c r="A992" s="2" t="s">
        <v>6086</v>
      </c>
      <c r="B992" s="3">
        <v>44718</v>
      </c>
      <c r="C992" s="2" t="s">
        <v>6118</v>
      </c>
      <c r="D992" t="s">
        <v>6153</v>
      </c>
      <c r="E992" t="str">
        <f t="shared" si="77"/>
        <v>Excelsa-Dark-0.2</v>
      </c>
      <c r="F992" s="2">
        <v>5</v>
      </c>
      <c r="G992" s="2" t="str" cm="1">
        <f t="array" ref="G992">_xlfn.XLOOKUP(C992, customers!$A$1:A1991,customers!$B$1:B1991,,0)</f>
        <v>Marguerite Graves</v>
      </c>
      <c r="H992" s="2" t="str" cm="1">
        <f t="array" ref="H992">IF(_xlfn.XLOOKUP(C992,customers!$A$1:A1991,customers!$C$1:C1991,,0) = 0,"", _xlfn.XLOOKUP(C992,customers!$A$1:A1991,customers!$C$1:C1991,,0))</f>
        <v/>
      </c>
      <c r="I992" s="2" t="str">
        <f>_xlfn.XLOOKUP(C992,customers!$A$1:$A$1001,customers!$G$1:$G$1001,,0)</f>
        <v>United States</v>
      </c>
      <c r="J992" s="2" t="str">
        <f>_xlfn.XLOOKUP(Orders[[#This Row],[Customer ID]],customers!$A$1:$A$1001,customers!$F$1:$F$1001,,0)</f>
        <v>Fort Smith</v>
      </c>
      <c r="K992" t="str">
        <f>INDEX(products!$A$1:$G$49,MATCH(orders!$D992,products!$A$1:$A$49,0),MATCH(orders!K$1,products!$A$1:$G$1,0))</f>
        <v>Exc</v>
      </c>
      <c r="L992" t="str">
        <f>INDEX(products!$A$1:$G$49,MATCH(orders!$D992,products!$A$1:$A$49,0),MATCH(orders!L$1,products!$A$1:$G$1,0))</f>
        <v>D</v>
      </c>
      <c r="M992" s="14">
        <f>INDEX(products!$A$1:$G$49,MATCH(orders!$D992,products!$A$1:$A$49,0),MATCH(orders!M$1,products!$A$1:$G$1,0))</f>
        <v>0.2</v>
      </c>
      <c r="N992" s="4">
        <f>INDEX(products!$A$1:$G$49,MATCH(orders!$D992,products!$A$1:$A$49,0),MATCH(orders!N$1,products!$A$1:$G$1,0))</f>
        <v>3.645</v>
      </c>
      <c r="O992" s="13">
        <f t="shared" si="75"/>
        <v>18.225000000000001</v>
      </c>
      <c r="P992" s="13">
        <f>_xlfn.XLOOKUP(Orders[[#This Row],[Product ID]],products!$A$1:$A$49,products!$G$1:$G$49,,0)</f>
        <v>0.40095000000000003</v>
      </c>
      <c r="Q992" s="13">
        <f t="shared" si="76"/>
        <v>2.00475</v>
      </c>
      <c r="R992" t="str">
        <f t="shared" si="78"/>
        <v>Execelsa</v>
      </c>
      <c r="S992" t="str">
        <f t="shared" si="79"/>
        <v>Dark</v>
      </c>
      <c r="T992" t="str">
        <f>_xlfn.XLOOKUP(Orders[[#This Row],[Customer ID]],customers!$A$1:$A$1001,customers!$I$1:$I$1001,,0)</f>
        <v>No</v>
      </c>
    </row>
    <row r="993" spans="1:20" x14ac:dyDescent="0.35">
      <c r="A993" s="2" t="s">
        <v>6086</v>
      </c>
      <c r="B993" s="3">
        <v>44718</v>
      </c>
      <c r="C993" s="2" t="s">
        <v>6118</v>
      </c>
      <c r="D993" t="s">
        <v>6169</v>
      </c>
      <c r="E993" t="str">
        <f t="shared" si="77"/>
        <v>Liberica-Dark-0.5</v>
      </c>
      <c r="F993" s="2">
        <v>2</v>
      </c>
      <c r="G993" s="2" t="str" cm="1">
        <f t="array" ref="G993">_xlfn.XLOOKUP(C993, customers!$A$1:A1992,customers!$B$1:B1992,,0)</f>
        <v>Marguerite Graves</v>
      </c>
      <c r="H993" s="2" t="str" cm="1">
        <f t="array" ref="H993">IF(_xlfn.XLOOKUP(C993,customers!$A$1:A1992,customers!$C$1:C1992,,0) = 0,"", _xlfn.XLOOKUP(C993,customers!$A$1:A1992,customers!$C$1:C1992,,0))</f>
        <v/>
      </c>
      <c r="I993" s="2" t="str">
        <f>_xlfn.XLOOKUP(C993,customers!$A$1:$A$1001,customers!$G$1:$G$1001,,0)</f>
        <v>United States</v>
      </c>
      <c r="J993" s="2" t="str">
        <f>_xlfn.XLOOKUP(Orders[[#This Row],[Customer ID]],customers!$A$1:$A$1001,customers!$F$1:$F$1001,,0)</f>
        <v>Fort Smith</v>
      </c>
      <c r="K993" t="str">
        <f>INDEX(products!$A$1:$G$49,MATCH(orders!$D993,products!$A$1:$A$49,0),MATCH(orders!K$1,products!$A$1:$G$1,0))</f>
        <v>Lib</v>
      </c>
      <c r="L993" t="str">
        <f>INDEX(products!$A$1:$G$49,MATCH(orders!$D993,products!$A$1:$A$49,0),MATCH(orders!L$1,products!$A$1:$G$1,0))</f>
        <v>D</v>
      </c>
      <c r="M993" s="14">
        <f>INDEX(products!$A$1:$G$49,MATCH(orders!$D993,products!$A$1:$A$49,0),MATCH(orders!M$1,products!$A$1:$G$1,0))</f>
        <v>0.5</v>
      </c>
      <c r="N993" s="4">
        <f>INDEX(products!$A$1:$G$49,MATCH(orders!$D993,products!$A$1:$A$49,0),MATCH(orders!N$1,products!$A$1:$G$1,0))</f>
        <v>7.77</v>
      </c>
      <c r="O993" s="13">
        <f t="shared" si="75"/>
        <v>15.54</v>
      </c>
      <c r="P993" s="13">
        <f>_xlfn.XLOOKUP(Orders[[#This Row],[Product ID]],products!$A$1:$A$49,products!$G$1:$G$49,,0)</f>
        <v>1.0101</v>
      </c>
      <c r="Q993" s="13">
        <f t="shared" si="76"/>
        <v>2.0202</v>
      </c>
      <c r="R993" t="str">
        <f t="shared" si="78"/>
        <v>Liberica</v>
      </c>
      <c r="S993" t="str">
        <f t="shared" si="79"/>
        <v>Dark</v>
      </c>
      <c r="T993" t="str">
        <f>_xlfn.XLOOKUP(Orders[[#This Row],[Customer ID]],customers!$A$1:$A$1001,customers!$I$1:$I$1001,,0)</f>
        <v>No</v>
      </c>
    </row>
    <row r="994" spans="1:20" x14ac:dyDescent="0.35">
      <c r="A994" s="2" t="s">
        <v>6096</v>
      </c>
      <c r="B994" s="3">
        <v>44276</v>
      </c>
      <c r="C994" s="2" t="s">
        <v>6097</v>
      </c>
      <c r="D994" t="s">
        <v>6164</v>
      </c>
      <c r="E994" t="str">
        <f t="shared" si="77"/>
        <v>Liberica-Light-2.5</v>
      </c>
      <c r="F994" s="2">
        <v>3</v>
      </c>
      <c r="G994" s="2" t="str" cm="1">
        <f t="array" ref="G994">_xlfn.XLOOKUP(C994, customers!$A$1:A1993,customers!$B$1:B1993,,0)</f>
        <v>Desdemona Eye</v>
      </c>
      <c r="H994" s="2" t="str" cm="1">
        <f t="array" ref="H994">IF(_xlfn.XLOOKUP(C994,customers!$A$1:A1993,customers!$C$1:C1993,,0) = 0,"", _xlfn.XLOOKUP(C994,customers!$A$1:A1993,customers!$C$1:C1993,,0))</f>
        <v/>
      </c>
      <c r="I994" s="2" t="str">
        <f>_xlfn.XLOOKUP(C994,customers!$A$1:$A$1001,customers!$G$1:$G$1001,,0)</f>
        <v>Ireland</v>
      </c>
      <c r="J994" s="2" t="str">
        <f>_xlfn.XLOOKUP(Orders[[#This Row],[Customer ID]],customers!$A$1:$A$1001,customers!$F$1:$F$1001,,0)</f>
        <v>Bagenalstown</v>
      </c>
      <c r="K994" t="str">
        <f>INDEX(products!$A$1:$G$49,MATCH(orders!$D994,products!$A$1:$A$49,0),MATCH(orders!K$1,products!$A$1:$G$1,0))</f>
        <v>Lib</v>
      </c>
      <c r="L994" t="str">
        <f>INDEX(products!$A$1:$G$49,MATCH(orders!$D994,products!$A$1:$A$49,0),MATCH(orders!L$1,products!$A$1:$G$1,0))</f>
        <v>L</v>
      </c>
      <c r="M994" s="14">
        <f>INDEX(products!$A$1:$G$49,MATCH(orders!$D994,products!$A$1:$A$49,0),MATCH(orders!M$1,products!$A$1:$G$1,0))</f>
        <v>2.5</v>
      </c>
      <c r="N994" s="4">
        <f>INDEX(products!$A$1:$G$49,MATCH(orders!$D994,products!$A$1:$A$49,0),MATCH(orders!N$1,products!$A$1:$G$1,0))</f>
        <v>36.454999999999998</v>
      </c>
      <c r="O994" s="13">
        <f t="shared" si="75"/>
        <v>109.36499999999999</v>
      </c>
      <c r="P994" s="13">
        <f>_xlfn.XLOOKUP(Orders[[#This Row],[Product ID]],products!$A$1:$A$49,products!$G$1:$G$49,,0)</f>
        <v>4.7391499999999995</v>
      </c>
      <c r="Q994" s="13">
        <f t="shared" si="76"/>
        <v>14.217449999999999</v>
      </c>
      <c r="R994" t="str">
        <f t="shared" si="78"/>
        <v>Liberica</v>
      </c>
      <c r="S994" t="str">
        <f t="shared" si="79"/>
        <v>Light</v>
      </c>
      <c r="T994" t="str">
        <f>_xlfn.XLOOKUP(Orders[[#This Row],[Customer ID]],customers!$A$1:$A$1001,customers!$I$1:$I$1001,,0)</f>
        <v>No</v>
      </c>
    </row>
    <row r="995" spans="1:20" x14ac:dyDescent="0.35">
      <c r="A995" s="2" t="s">
        <v>6101</v>
      </c>
      <c r="B995" s="3">
        <v>44549</v>
      </c>
      <c r="C995" s="2" t="s">
        <v>6102</v>
      </c>
      <c r="D995" t="s">
        <v>6140</v>
      </c>
      <c r="E995" t="str">
        <f t="shared" si="77"/>
        <v>Arabica-Light-1</v>
      </c>
      <c r="F995" s="2">
        <v>6</v>
      </c>
      <c r="G995" s="2" t="str" cm="1">
        <f t="array" ref="G995">_xlfn.XLOOKUP(C995, customers!$A$1:A1994,customers!$B$1:B1994,,0)</f>
        <v>Margarette Sterland</v>
      </c>
      <c r="H995" s="2" t="str" cm="1">
        <f t="array" ref="H995">IF(_xlfn.XLOOKUP(C995,customers!$A$1:A1994,customers!$C$1:C1994,,0) = 0,"", _xlfn.XLOOKUP(C995,customers!$A$1:A1994,customers!$C$1:C1994,,0))</f>
        <v/>
      </c>
      <c r="I995" s="2" t="str">
        <f>_xlfn.XLOOKUP(C995,customers!$A$1:$A$1001,customers!$G$1:$G$1001,,0)</f>
        <v>United States</v>
      </c>
      <c r="J995" s="2" t="str">
        <f>_xlfn.XLOOKUP(Orders[[#This Row],[Customer ID]],customers!$A$1:$A$1001,customers!$F$1:$F$1001,,0)</f>
        <v>Philadelphia</v>
      </c>
      <c r="K995" t="str">
        <f>INDEX(products!$A$1:$G$49,MATCH(orders!$D995,products!$A$1:$A$49,0),MATCH(orders!K$1,products!$A$1:$G$1,0))</f>
        <v>Ara</v>
      </c>
      <c r="L995" t="str">
        <f>INDEX(products!$A$1:$G$49,MATCH(orders!$D995,products!$A$1:$A$49,0),MATCH(orders!L$1,products!$A$1:$G$1,0))</f>
        <v>L</v>
      </c>
      <c r="M995" s="14">
        <f>INDEX(products!$A$1:$G$49,MATCH(orders!$D995,products!$A$1:$A$49,0),MATCH(orders!M$1,products!$A$1:$G$1,0))</f>
        <v>1</v>
      </c>
      <c r="N995" s="4">
        <f>INDEX(products!$A$1:$G$49,MATCH(orders!$D995,products!$A$1:$A$49,0),MATCH(orders!N$1,products!$A$1:$G$1,0))</f>
        <v>12.95</v>
      </c>
      <c r="O995" s="13">
        <f t="shared" si="75"/>
        <v>77.699999999999989</v>
      </c>
      <c r="P995" s="13">
        <f>_xlfn.XLOOKUP(Orders[[#This Row],[Product ID]],products!$A$1:$A$49,products!$G$1:$G$49,,0)</f>
        <v>1.1655</v>
      </c>
      <c r="Q995" s="13">
        <f t="shared" si="76"/>
        <v>6.9930000000000003</v>
      </c>
      <c r="R995" t="str">
        <f t="shared" si="78"/>
        <v>Arabica</v>
      </c>
      <c r="S995" t="str">
        <f t="shared" si="79"/>
        <v>Light</v>
      </c>
      <c r="T995" t="str">
        <f>_xlfn.XLOOKUP(Orders[[#This Row],[Customer ID]],customers!$A$1:$A$1001,customers!$I$1:$I$1001,,0)</f>
        <v>No</v>
      </c>
    </row>
    <row r="996" spans="1:20" x14ac:dyDescent="0.35">
      <c r="A996" s="2" t="s">
        <v>6106</v>
      </c>
      <c r="B996" s="3">
        <v>44244</v>
      </c>
      <c r="C996" s="2" t="s">
        <v>6107</v>
      </c>
      <c r="D996" t="s">
        <v>6154</v>
      </c>
      <c r="E996" t="str">
        <f t="shared" si="77"/>
        <v>Arabica-Dark-0.2</v>
      </c>
      <c r="F996" s="2">
        <v>3</v>
      </c>
      <c r="G996" s="2" t="str" cm="1">
        <f t="array" ref="G996">_xlfn.XLOOKUP(C996, customers!$A$1:A1995,customers!$B$1:B1995,,0)</f>
        <v>Catharine Scoines</v>
      </c>
      <c r="H996" s="2" t="str" cm="1">
        <f t="array" ref="H996">IF(_xlfn.XLOOKUP(C996,customers!$A$1:A1995,customers!$C$1:C1995,,0) = 0,"", _xlfn.XLOOKUP(C996,customers!$A$1:A1995,customers!$C$1:C1995,,0))</f>
        <v/>
      </c>
      <c r="I996" s="2" t="str">
        <f>_xlfn.XLOOKUP(C996,customers!$A$1:$A$1001,customers!$G$1:$G$1001,,0)</f>
        <v>Ireland</v>
      </c>
      <c r="J996" s="2" t="str">
        <f>_xlfn.XLOOKUP(Orders[[#This Row],[Customer ID]],customers!$A$1:$A$1001,customers!$F$1:$F$1001,,0)</f>
        <v>Watergrasshill</v>
      </c>
      <c r="K996" t="str">
        <f>INDEX(products!$A$1:$G$49,MATCH(orders!$D996,products!$A$1:$A$49,0),MATCH(orders!K$1,products!$A$1:$G$1,0))</f>
        <v>Ara</v>
      </c>
      <c r="L996" t="str">
        <f>INDEX(products!$A$1:$G$49,MATCH(orders!$D996,products!$A$1:$A$49,0),MATCH(orders!L$1,products!$A$1:$G$1,0))</f>
        <v>D</v>
      </c>
      <c r="M996" s="14">
        <f>INDEX(products!$A$1:$G$49,MATCH(orders!$D996,products!$A$1:$A$49,0),MATCH(orders!M$1,products!$A$1:$G$1,0))</f>
        <v>0.2</v>
      </c>
      <c r="N996" s="4">
        <f>INDEX(products!$A$1:$G$49,MATCH(orders!$D996,products!$A$1:$A$49,0),MATCH(orders!N$1,products!$A$1:$G$1,0))</f>
        <v>2.9849999999999999</v>
      </c>
      <c r="O996" s="13">
        <f t="shared" si="75"/>
        <v>8.9550000000000001</v>
      </c>
      <c r="P996" s="13">
        <f>_xlfn.XLOOKUP(Orders[[#This Row],[Product ID]],products!$A$1:$A$49,products!$G$1:$G$49,,0)</f>
        <v>0.26865</v>
      </c>
      <c r="Q996" s="13">
        <f t="shared" si="76"/>
        <v>0.80594999999999994</v>
      </c>
      <c r="R996" t="str">
        <f t="shared" si="78"/>
        <v>Arabica</v>
      </c>
      <c r="S996" t="str">
        <f t="shared" si="79"/>
        <v>Dark</v>
      </c>
      <c r="T996" t="str">
        <f>_xlfn.XLOOKUP(Orders[[#This Row],[Customer ID]],customers!$A$1:$A$1001,customers!$I$1:$I$1001,,0)</f>
        <v>No</v>
      </c>
    </row>
    <row r="997" spans="1:20" x14ac:dyDescent="0.35">
      <c r="A997" s="2" t="s">
        <v>6111</v>
      </c>
      <c r="B997" s="3">
        <v>43836</v>
      </c>
      <c r="C997" s="2" t="s">
        <v>6112</v>
      </c>
      <c r="D997" t="s">
        <v>6142</v>
      </c>
      <c r="E997" t="str">
        <f t="shared" si="77"/>
        <v>Robusta-Light-2.5</v>
      </c>
      <c r="F997" s="2">
        <v>1</v>
      </c>
      <c r="G997" s="2" t="str" cm="1">
        <f t="array" ref="G997">_xlfn.XLOOKUP(C997, customers!$A$1:A1996,customers!$B$1:B1996,,0)</f>
        <v>Jennica Tewelson</v>
      </c>
      <c r="H997" s="2" t="str" cm="1">
        <f t="array" ref="H997">IF(_xlfn.XLOOKUP(C997,customers!$A$1:A1996,customers!$C$1:C1996,,0) = 0,"", _xlfn.XLOOKUP(C997,customers!$A$1:A1996,customers!$C$1:C1996,,0))</f>
        <v>jtewelsonrn@samsung.com</v>
      </c>
      <c r="I997" s="2" t="str">
        <f>_xlfn.XLOOKUP(C997,customers!$A$1:$A$1001,customers!$G$1:$G$1001,,0)</f>
        <v>United States</v>
      </c>
      <c r="J997" s="2" t="str">
        <f>_xlfn.XLOOKUP(Orders[[#This Row],[Customer ID]],customers!$A$1:$A$1001,customers!$F$1:$F$1001,,0)</f>
        <v>Dallas</v>
      </c>
      <c r="K997" t="str">
        <f>INDEX(products!$A$1:$G$49,MATCH(orders!$D997,products!$A$1:$A$49,0),MATCH(orders!K$1,products!$A$1:$G$1,0))</f>
        <v>Rob</v>
      </c>
      <c r="L997" t="str">
        <f>INDEX(products!$A$1:$G$49,MATCH(orders!$D997,products!$A$1:$A$49,0),MATCH(orders!L$1,products!$A$1:$G$1,0))</f>
        <v>L</v>
      </c>
      <c r="M997" s="14">
        <f>INDEX(products!$A$1:$G$49,MATCH(orders!$D997,products!$A$1:$A$49,0),MATCH(orders!M$1,products!$A$1:$G$1,0))</f>
        <v>2.5</v>
      </c>
      <c r="N997" s="4">
        <f>INDEX(products!$A$1:$G$49,MATCH(orders!$D997,products!$A$1:$A$49,0),MATCH(orders!N$1,products!$A$1:$G$1,0))</f>
        <v>27.484999999999996</v>
      </c>
      <c r="O997" s="13">
        <f t="shared" si="75"/>
        <v>27.484999999999996</v>
      </c>
      <c r="P997" s="13">
        <f>_xlfn.XLOOKUP(Orders[[#This Row],[Product ID]],products!$A$1:$A$49,products!$G$1:$G$49,,0)</f>
        <v>1.6490999999999998</v>
      </c>
      <c r="Q997" s="13">
        <f t="shared" si="76"/>
        <v>1.6490999999999998</v>
      </c>
      <c r="R997" t="str">
        <f t="shared" si="78"/>
        <v>Robusta</v>
      </c>
      <c r="S997" t="str">
        <f t="shared" si="79"/>
        <v>Light</v>
      </c>
      <c r="T997" t="str">
        <f>_xlfn.XLOOKUP(Orders[[#This Row],[Customer ID]],customers!$A$1:$A$1001,customers!$I$1:$I$1001,,0)</f>
        <v>No</v>
      </c>
    </row>
    <row r="998" spans="1:20" x14ac:dyDescent="0.35">
      <c r="A998" s="2" t="s">
        <v>6117</v>
      </c>
      <c r="B998" s="3">
        <v>44685</v>
      </c>
      <c r="C998" s="2" t="s">
        <v>6118</v>
      </c>
      <c r="D998" t="s">
        <v>6146</v>
      </c>
      <c r="E998" t="str">
        <f t="shared" si="77"/>
        <v>Robusta-Medium-0.5</v>
      </c>
      <c r="F998" s="2">
        <v>5</v>
      </c>
      <c r="G998" s="2" t="str" cm="1">
        <f t="array" ref="G998">_xlfn.XLOOKUP(C998, customers!$A$1:A1997,customers!$B$1:B1997,,0)</f>
        <v>Marguerite Graves</v>
      </c>
      <c r="H998" s="2" t="str" cm="1">
        <f t="array" ref="H998">IF(_xlfn.XLOOKUP(C998,customers!$A$1:A1997,customers!$C$1:C1997,,0) = 0,"", _xlfn.XLOOKUP(C998,customers!$A$1:A1997,customers!$C$1:C1997,,0))</f>
        <v/>
      </c>
      <c r="I998" s="2" t="str">
        <f>_xlfn.XLOOKUP(C998,customers!$A$1:$A$1001,customers!$G$1:$G$1001,,0)</f>
        <v>United States</v>
      </c>
      <c r="J998" s="2" t="str">
        <f>_xlfn.XLOOKUP(Orders[[#This Row],[Customer ID]],customers!$A$1:$A$1001,customers!$F$1:$F$1001,,0)</f>
        <v>Fort Smith</v>
      </c>
      <c r="K998" t="str">
        <f>INDEX(products!$A$1:$G$49,MATCH(orders!$D998,products!$A$1:$A$49,0),MATCH(orders!K$1,products!$A$1:$G$1,0))</f>
        <v>Rob</v>
      </c>
      <c r="L998" t="str">
        <f>INDEX(products!$A$1:$G$49,MATCH(orders!$D998,products!$A$1:$A$49,0),MATCH(orders!L$1,products!$A$1:$G$1,0))</f>
        <v>M</v>
      </c>
      <c r="M998" s="14">
        <f>INDEX(products!$A$1:$G$49,MATCH(orders!$D998,products!$A$1:$A$49,0),MATCH(orders!M$1,products!$A$1:$G$1,0))</f>
        <v>0.5</v>
      </c>
      <c r="N998" s="4">
        <f>INDEX(products!$A$1:$G$49,MATCH(orders!$D998,products!$A$1:$A$49,0),MATCH(orders!N$1,products!$A$1:$G$1,0))</f>
        <v>5.97</v>
      </c>
      <c r="O998" s="13">
        <f t="shared" si="75"/>
        <v>29.849999999999998</v>
      </c>
      <c r="P998" s="13">
        <f>_xlfn.XLOOKUP(Orders[[#This Row],[Product ID]],products!$A$1:$A$49,products!$G$1:$G$49,,0)</f>
        <v>0.35819999999999996</v>
      </c>
      <c r="Q998" s="13">
        <f t="shared" si="76"/>
        <v>1.7909999999999999</v>
      </c>
      <c r="R998" t="str">
        <f t="shared" si="78"/>
        <v>Robusta</v>
      </c>
      <c r="S998" t="str">
        <f t="shared" si="79"/>
        <v>Medium</v>
      </c>
      <c r="T998" t="str">
        <f>_xlfn.XLOOKUP(Orders[[#This Row],[Customer ID]],customers!$A$1:$A$1001,customers!$I$1:$I$1001,,0)</f>
        <v>No</v>
      </c>
    </row>
    <row r="999" spans="1:20" x14ac:dyDescent="0.35">
      <c r="A999" s="2" t="s">
        <v>6122</v>
      </c>
      <c r="B999" s="3">
        <v>43749</v>
      </c>
      <c r="C999" s="2" t="s">
        <v>6118</v>
      </c>
      <c r="D999" t="s">
        <v>6157</v>
      </c>
      <c r="E999" t="str">
        <f t="shared" si="77"/>
        <v>Arabica-Medium-0.5</v>
      </c>
      <c r="F999" s="2">
        <v>4</v>
      </c>
      <c r="G999" s="2" t="str" cm="1">
        <f t="array" ref="G999">_xlfn.XLOOKUP(C999, customers!$A$1:A1998,customers!$B$1:B1998,,0)</f>
        <v>Marguerite Graves</v>
      </c>
      <c r="H999" s="2" t="str" cm="1">
        <f t="array" ref="H999">IF(_xlfn.XLOOKUP(C999,customers!$A$1:A1998,customers!$C$1:C1998,,0) = 0,"", _xlfn.XLOOKUP(C999,customers!$A$1:A1998,customers!$C$1:C1998,,0))</f>
        <v/>
      </c>
      <c r="I999" s="2" t="str">
        <f>_xlfn.XLOOKUP(C999,customers!$A$1:$A$1001,customers!$G$1:$G$1001,,0)</f>
        <v>United States</v>
      </c>
      <c r="J999" s="2" t="str">
        <f>_xlfn.XLOOKUP(Orders[[#This Row],[Customer ID]],customers!$A$1:$A$1001,customers!$F$1:$F$1001,,0)</f>
        <v>Fort Smith</v>
      </c>
      <c r="K999" t="str">
        <f>INDEX(products!$A$1:$G$49,MATCH(orders!$D999,products!$A$1:$A$49,0),MATCH(orders!K$1,products!$A$1:$G$1,0))</f>
        <v>Ara</v>
      </c>
      <c r="L999" t="str">
        <f>INDEX(products!$A$1:$G$49,MATCH(orders!$D999,products!$A$1:$A$49,0),MATCH(orders!L$1,products!$A$1:$G$1,0))</f>
        <v>M</v>
      </c>
      <c r="M999" s="14">
        <f>INDEX(products!$A$1:$G$49,MATCH(orders!$D999,products!$A$1:$A$49,0),MATCH(orders!M$1,products!$A$1:$G$1,0))</f>
        <v>0.5</v>
      </c>
      <c r="N999" s="4">
        <f>INDEX(products!$A$1:$G$49,MATCH(orders!$D999,products!$A$1:$A$49,0),MATCH(orders!N$1,products!$A$1:$G$1,0))</f>
        <v>6.75</v>
      </c>
      <c r="O999" s="13">
        <f t="shared" si="75"/>
        <v>27</v>
      </c>
      <c r="P999" s="13">
        <f>_xlfn.XLOOKUP(Orders[[#This Row],[Product ID]],products!$A$1:$A$49,products!$G$1:$G$49,,0)</f>
        <v>0.60749999999999993</v>
      </c>
      <c r="Q999" s="13">
        <f t="shared" si="76"/>
        <v>2.4299999999999997</v>
      </c>
      <c r="R999" t="str">
        <f t="shared" si="78"/>
        <v>Arabica</v>
      </c>
      <c r="S999" t="str">
        <f t="shared" si="79"/>
        <v>Medium</v>
      </c>
      <c r="T999" t="str">
        <f>_xlfn.XLOOKUP(Orders[[#This Row],[Customer ID]],customers!$A$1:$A$1001,customers!$I$1:$I$1001,,0)</f>
        <v>No</v>
      </c>
    </row>
    <row r="1000" spans="1:20" x14ac:dyDescent="0.35">
      <c r="A1000" s="2" t="s">
        <v>6127</v>
      </c>
      <c r="B1000" s="3">
        <v>44411</v>
      </c>
      <c r="C1000" s="2" t="s">
        <v>6128</v>
      </c>
      <c r="D1000" t="s">
        <v>6147</v>
      </c>
      <c r="E1000" t="str">
        <f t="shared" si="77"/>
        <v>Arabica-Dark-1</v>
      </c>
      <c r="F1000" s="2">
        <v>1</v>
      </c>
      <c r="G1000" s="2" t="str" cm="1">
        <f t="array" ref="G1000">_xlfn.XLOOKUP(C1000, customers!$A$1:A1999,customers!$B$1:B1999,,0)</f>
        <v>Nicolina Jenny</v>
      </c>
      <c r="H1000" s="2" t="str" cm="1">
        <f t="array" ref="H1000">IF(_xlfn.XLOOKUP(C1000,customers!$A$1:A1999,customers!$C$1:C1999,,0) = 0,"", _xlfn.XLOOKUP(C1000,customers!$A$1:A1999,customers!$C$1:C1999,,0))</f>
        <v>njennyrq@bigcartel.com</v>
      </c>
      <c r="I1000" s="2" t="str">
        <f>_xlfn.XLOOKUP(C1000,customers!$A$1:$A$1001,customers!$G$1:$G$1001,,0)</f>
        <v>United States</v>
      </c>
      <c r="J1000" s="2" t="str">
        <f>_xlfn.XLOOKUP(Orders[[#This Row],[Customer ID]],customers!$A$1:$A$1001,customers!$F$1:$F$1001,,0)</f>
        <v>Whittier</v>
      </c>
      <c r="K1000" t="str">
        <f>INDEX(products!$A$1:$G$49,MATCH(orders!$D1000,products!$A$1:$A$49,0),MATCH(orders!K$1,products!$A$1:$G$1,0))</f>
        <v>Ara</v>
      </c>
      <c r="L1000" t="str">
        <f>INDEX(products!$A$1:$G$49,MATCH(orders!$D1000,products!$A$1:$A$49,0),MATCH(orders!L$1,products!$A$1:$G$1,0))</f>
        <v>D</v>
      </c>
      <c r="M1000" s="14">
        <f>INDEX(products!$A$1:$G$49,MATCH(orders!$D1000,products!$A$1:$A$49,0),MATCH(orders!M$1,products!$A$1:$G$1,0))</f>
        <v>1</v>
      </c>
      <c r="N1000" s="4">
        <f>INDEX(products!$A$1:$G$49,MATCH(orders!$D1000,products!$A$1:$A$49,0),MATCH(orders!N$1,products!$A$1:$G$1,0))</f>
        <v>9.9499999999999993</v>
      </c>
      <c r="O1000" s="13">
        <f t="shared" si="75"/>
        <v>9.9499999999999993</v>
      </c>
      <c r="P1000" s="13">
        <f>_xlfn.XLOOKUP(Orders[[#This Row],[Product ID]],products!$A$1:$A$49,products!$G$1:$G$49,,0)</f>
        <v>0.89549999999999985</v>
      </c>
      <c r="Q1000" s="13">
        <f t="shared" si="76"/>
        <v>0.89549999999999985</v>
      </c>
      <c r="R1000" t="str">
        <f t="shared" si="78"/>
        <v>Arabica</v>
      </c>
      <c r="S1000" t="str">
        <f t="shared" si="79"/>
        <v>Dark</v>
      </c>
      <c r="T1000" t="str">
        <f>_xlfn.XLOOKUP(Orders[[#This Row],[Customer ID]],customers!$A$1:$A$1001,customers!$I$1:$I$1001,,0)</f>
        <v>No</v>
      </c>
    </row>
    <row r="1001" spans="1:20" x14ac:dyDescent="0.35">
      <c r="A1001" s="2" t="s">
        <v>6133</v>
      </c>
      <c r="B1001" s="3">
        <v>44119</v>
      </c>
      <c r="C1001" s="2" t="s">
        <v>6134</v>
      </c>
      <c r="D1001" t="s">
        <v>6156</v>
      </c>
      <c r="E1001" t="str">
        <f t="shared" si="77"/>
        <v>Excelsa-Medium-0.2</v>
      </c>
      <c r="F1001" s="2">
        <v>3</v>
      </c>
      <c r="G1001" s="2" t="str" cm="1">
        <f t="array" ref="G1001">_xlfn.XLOOKUP(C1001, customers!$A$1:A2000,customers!$B$1:B2000,,0)</f>
        <v>Vidovic Antonelli</v>
      </c>
      <c r="H1001" s="2" t="str" cm="1">
        <f t="array" ref="H1001">IF(_xlfn.XLOOKUP(C1001,customers!$A$1:A2000,customers!$C$1:C2000,,0) = 0,"", _xlfn.XLOOKUP(C1001,customers!$A$1:A2000,customers!$C$1:C2000,,0))</f>
        <v/>
      </c>
      <c r="I1001" s="2" t="str">
        <f>_xlfn.XLOOKUP(C1001,customers!$A$1:$A$1001,customers!$G$1:$G$1001,,0)</f>
        <v>United Kingdom</v>
      </c>
      <c r="J1001" s="2" t="str">
        <f>_xlfn.XLOOKUP(Orders[[#This Row],[Customer ID]],customers!$A$1:$A$1001,customers!$F$1:$F$1001,,0)</f>
        <v>London</v>
      </c>
      <c r="K1001" t="str">
        <f>INDEX(products!$A$1:$G$49,MATCH(orders!$D1001,products!$A$1:$A$49,0),MATCH(orders!K$1,products!$A$1:$G$1,0))</f>
        <v>Exc</v>
      </c>
      <c r="L1001" t="str">
        <f>INDEX(products!$A$1:$G$49,MATCH(orders!$D1001,products!$A$1:$A$49,0),MATCH(orders!L$1,products!$A$1:$G$1,0))</f>
        <v>M</v>
      </c>
      <c r="M1001" s="14">
        <f>INDEX(products!$A$1:$G$49,MATCH(orders!$D1001,products!$A$1:$A$49,0),MATCH(orders!M$1,products!$A$1:$G$1,0))</f>
        <v>0.2</v>
      </c>
      <c r="N1001" s="4">
        <f>INDEX(products!$A$1:$G$49,MATCH(orders!$D1001,products!$A$1:$A$49,0),MATCH(orders!N$1,products!$A$1:$G$1,0))</f>
        <v>4.125</v>
      </c>
      <c r="O1001" s="13">
        <f t="shared" si="75"/>
        <v>12.375</v>
      </c>
      <c r="P1001" s="13">
        <f>_xlfn.XLOOKUP(Orders[[#This Row],[Product ID]],products!$A$1:$A$49,products!$G$1:$G$49,,0)</f>
        <v>0.45374999999999999</v>
      </c>
      <c r="Q1001" s="13">
        <f t="shared" si="76"/>
        <v>1.3612500000000001</v>
      </c>
      <c r="R1001" t="str">
        <f t="shared" si="78"/>
        <v>Execelsa</v>
      </c>
      <c r="S1001" t="str">
        <f t="shared" si="79"/>
        <v>Medium</v>
      </c>
      <c r="T1001" t="str">
        <f>_xlfn.XLOOKUP(Orders[[#This Row],[Customer ID]],customers!$A$1:$A$1001,customers!$I$1:$I$1001,,0)</f>
        <v>Yes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E1" sqref="E1"/>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autoFilter ref="B1:B1001" xr:uid="{402E2BF1-8815-4FC6-A281-0BA737A8105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topLeftCell="A12" workbookViewId="0">
      <selection activeCell="G1" sqref="G1:G1048576"/>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style="13" bestFit="1" customWidth="1"/>
  </cols>
  <sheetData>
    <row r="1" spans="1:7" x14ac:dyDescent="0.35">
      <c r="A1" t="s">
        <v>11</v>
      </c>
      <c r="B1" t="s">
        <v>9</v>
      </c>
      <c r="C1" t="s">
        <v>10</v>
      </c>
      <c r="D1" t="s">
        <v>12</v>
      </c>
      <c r="E1" t="s">
        <v>13</v>
      </c>
      <c r="F1" t="s">
        <v>17</v>
      </c>
      <c r="G1" s="13" t="s">
        <v>16</v>
      </c>
    </row>
    <row r="2" spans="1:7" x14ac:dyDescent="0.35">
      <c r="A2" t="s">
        <v>6167</v>
      </c>
      <c r="B2" t="s">
        <v>6193</v>
      </c>
      <c r="C2" t="s">
        <v>6186</v>
      </c>
      <c r="D2" s="1">
        <v>0.2</v>
      </c>
      <c r="E2">
        <v>3.8849999999999998</v>
      </c>
      <c r="F2">
        <v>1.9424999999999999</v>
      </c>
      <c r="G2" s="13">
        <v>0.34964999999999996</v>
      </c>
    </row>
    <row r="3" spans="1:7" x14ac:dyDescent="0.35">
      <c r="A3" t="s">
        <v>6180</v>
      </c>
      <c r="B3" t="s">
        <v>6193</v>
      </c>
      <c r="C3" t="s">
        <v>6186</v>
      </c>
      <c r="D3" s="1">
        <v>0.5</v>
      </c>
      <c r="E3">
        <v>7.77</v>
      </c>
      <c r="F3">
        <v>1.5539999999999998</v>
      </c>
      <c r="G3" s="13">
        <v>0.69929999999999992</v>
      </c>
    </row>
    <row r="4" spans="1:7" x14ac:dyDescent="0.35">
      <c r="A4" t="s">
        <v>6140</v>
      </c>
      <c r="B4" t="s">
        <v>6193</v>
      </c>
      <c r="C4" t="s">
        <v>6186</v>
      </c>
      <c r="D4" s="1">
        <v>1</v>
      </c>
      <c r="E4">
        <v>12.95</v>
      </c>
      <c r="F4">
        <v>1.2949999999999999</v>
      </c>
      <c r="G4" s="13">
        <v>1.1655</v>
      </c>
    </row>
    <row r="5" spans="1:7" x14ac:dyDescent="0.35">
      <c r="A5" t="s">
        <v>6182</v>
      </c>
      <c r="B5" t="s">
        <v>6193</v>
      </c>
      <c r="C5" t="s">
        <v>6186</v>
      </c>
      <c r="D5" s="1">
        <v>2.5</v>
      </c>
      <c r="E5">
        <v>29.784999999999997</v>
      </c>
      <c r="F5">
        <v>1.1913999999999998</v>
      </c>
      <c r="G5" s="13">
        <v>2.6806499999999995</v>
      </c>
    </row>
    <row r="6" spans="1:7" x14ac:dyDescent="0.35">
      <c r="A6" t="s">
        <v>6152</v>
      </c>
      <c r="B6" t="s">
        <v>6193</v>
      </c>
      <c r="C6" t="s">
        <v>6188</v>
      </c>
      <c r="D6" s="1">
        <v>0.2</v>
      </c>
      <c r="E6">
        <v>3.375</v>
      </c>
      <c r="F6">
        <v>1.6875</v>
      </c>
      <c r="G6" s="13">
        <v>0.30374999999999996</v>
      </c>
    </row>
    <row r="7" spans="1:7" x14ac:dyDescent="0.35">
      <c r="A7" t="s">
        <v>6157</v>
      </c>
      <c r="B7" t="s">
        <v>6193</v>
      </c>
      <c r="C7" t="s">
        <v>6188</v>
      </c>
      <c r="D7" s="1">
        <v>0.5</v>
      </c>
      <c r="E7">
        <v>6.75</v>
      </c>
      <c r="F7">
        <v>1.35</v>
      </c>
      <c r="G7" s="13">
        <v>0.60749999999999993</v>
      </c>
    </row>
    <row r="8" spans="1:7" x14ac:dyDescent="0.35">
      <c r="A8" t="s">
        <v>6155</v>
      </c>
      <c r="B8" t="s">
        <v>6193</v>
      </c>
      <c r="C8" t="s">
        <v>6188</v>
      </c>
      <c r="D8" s="1">
        <v>1</v>
      </c>
      <c r="E8">
        <v>11.25</v>
      </c>
      <c r="F8">
        <v>1.125</v>
      </c>
      <c r="G8" s="13">
        <v>1.0125</v>
      </c>
    </row>
    <row r="9" spans="1:7" x14ac:dyDescent="0.35">
      <c r="A9" t="s">
        <v>6175</v>
      </c>
      <c r="B9" t="s">
        <v>6193</v>
      </c>
      <c r="C9" t="s">
        <v>6188</v>
      </c>
      <c r="D9" s="1">
        <v>2.5</v>
      </c>
      <c r="E9">
        <v>25.874999999999996</v>
      </c>
      <c r="F9">
        <v>1.0349999999999999</v>
      </c>
      <c r="G9" s="13">
        <v>2.3287499999999994</v>
      </c>
    </row>
    <row r="10" spans="1:7" x14ac:dyDescent="0.35">
      <c r="A10" t="s">
        <v>6154</v>
      </c>
      <c r="B10" t="s">
        <v>6193</v>
      </c>
      <c r="C10" t="s">
        <v>6187</v>
      </c>
      <c r="D10" s="1">
        <v>0.2</v>
      </c>
      <c r="E10">
        <v>2.9849999999999999</v>
      </c>
      <c r="F10">
        <v>1.4924999999999999</v>
      </c>
      <c r="G10" s="13">
        <v>0.26865</v>
      </c>
    </row>
    <row r="11" spans="1:7" x14ac:dyDescent="0.35">
      <c r="A11" t="s">
        <v>6158</v>
      </c>
      <c r="B11" t="s">
        <v>6193</v>
      </c>
      <c r="C11" t="s">
        <v>6187</v>
      </c>
      <c r="D11" s="1">
        <v>0.5</v>
      </c>
      <c r="E11">
        <v>5.97</v>
      </c>
      <c r="F11">
        <v>1.194</v>
      </c>
      <c r="G11" s="13">
        <v>0.5373</v>
      </c>
    </row>
    <row r="12" spans="1:7" x14ac:dyDescent="0.35">
      <c r="A12" t="s">
        <v>6147</v>
      </c>
      <c r="B12" t="s">
        <v>6193</v>
      </c>
      <c r="C12" t="s">
        <v>6187</v>
      </c>
      <c r="D12" s="1">
        <v>1</v>
      </c>
      <c r="E12">
        <v>9.9499999999999993</v>
      </c>
      <c r="F12">
        <v>0.99499999999999988</v>
      </c>
      <c r="G12" s="13">
        <v>0.89549999999999985</v>
      </c>
    </row>
    <row r="13" spans="1:7" x14ac:dyDescent="0.35">
      <c r="A13" t="s">
        <v>6168</v>
      </c>
      <c r="B13" t="s">
        <v>6193</v>
      </c>
      <c r="C13" t="s">
        <v>6187</v>
      </c>
      <c r="D13" s="1">
        <v>2.5</v>
      </c>
      <c r="E13">
        <v>22.884999999999998</v>
      </c>
      <c r="F13">
        <v>0.91539999999999988</v>
      </c>
      <c r="G13" s="13">
        <v>2.0596499999999995</v>
      </c>
    </row>
    <row r="14" spans="1:7" x14ac:dyDescent="0.35">
      <c r="A14" t="s">
        <v>6178</v>
      </c>
      <c r="B14" t="s">
        <v>6192</v>
      </c>
      <c r="C14" t="s">
        <v>6186</v>
      </c>
      <c r="D14" s="1">
        <v>0.2</v>
      </c>
      <c r="E14">
        <v>3.5849999999999995</v>
      </c>
      <c r="F14">
        <v>1.7924999999999998</v>
      </c>
      <c r="G14" s="13">
        <v>0.21509999999999996</v>
      </c>
    </row>
    <row r="15" spans="1:7" x14ac:dyDescent="0.35">
      <c r="A15" t="s">
        <v>6173</v>
      </c>
      <c r="B15" t="s">
        <v>6192</v>
      </c>
      <c r="C15" t="s">
        <v>6186</v>
      </c>
      <c r="D15" s="1">
        <v>0.5</v>
      </c>
      <c r="E15">
        <v>7.169999999999999</v>
      </c>
      <c r="F15">
        <v>1.4339999999999997</v>
      </c>
      <c r="G15" s="13">
        <v>0.43019999999999992</v>
      </c>
    </row>
    <row r="16" spans="1:7" x14ac:dyDescent="0.35">
      <c r="A16" t="s">
        <v>6179</v>
      </c>
      <c r="B16" t="s">
        <v>6192</v>
      </c>
      <c r="C16" t="s">
        <v>6186</v>
      </c>
      <c r="D16" s="1">
        <v>1</v>
      </c>
      <c r="E16">
        <v>11.95</v>
      </c>
      <c r="F16">
        <v>1.1949999999999998</v>
      </c>
      <c r="G16" s="13">
        <v>0.71699999999999997</v>
      </c>
    </row>
    <row r="17" spans="1:7" x14ac:dyDescent="0.35">
      <c r="A17" t="s">
        <v>6142</v>
      </c>
      <c r="B17" t="s">
        <v>6192</v>
      </c>
      <c r="C17" t="s">
        <v>6186</v>
      </c>
      <c r="D17" s="1">
        <v>2.5</v>
      </c>
      <c r="E17">
        <v>27.484999999999996</v>
      </c>
      <c r="F17">
        <v>1.0993999999999999</v>
      </c>
      <c r="G17" s="13">
        <v>1.6490999999999998</v>
      </c>
    </row>
    <row r="18" spans="1:7" x14ac:dyDescent="0.35">
      <c r="A18" t="s">
        <v>6174</v>
      </c>
      <c r="B18" t="s">
        <v>6192</v>
      </c>
      <c r="C18" t="s">
        <v>6188</v>
      </c>
      <c r="D18" s="1">
        <v>0.2</v>
      </c>
      <c r="E18">
        <v>2.9849999999999999</v>
      </c>
      <c r="F18">
        <v>1.4924999999999999</v>
      </c>
      <c r="G18" s="13">
        <v>0.17909999999999998</v>
      </c>
    </row>
    <row r="19" spans="1:7" x14ac:dyDescent="0.35">
      <c r="A19" t="s">
        <v>6146</v>
      </c>
      <c r="B19" t="s">
        <v>6192</v>
      </c>
      <c r="C19" t="s">
        <v>6188</v>
      </c>
      <c r="D19" s="1">
        <v>0.5</v>
      </c>
      <c r="E19">
        <v>5.97</v>
      </c>
      <c r="F19">
        <v>1.194</v>
      </c>
      <c r="G19" s="13">
        <v>0.35819999999999996</v>
      </c>
    </row>
    <row r="20" spans="1:7" x14ac:dyDescent="0.35">
      <c r="A20" t="s">
        <v>6138</v>
      </c>
      <c r="B20" t="s">
        <v>6192</v>
      </c>
      <c r="C20" t="s">
        <v>6188</v>
      </c>
      <c r="D20" s="1">
        <v>1</v>
      </c>
      <c r="E20">
        <v>9.9499999999999993</v>
      </c>
      <c r="F20">
        <v>0.99499999999999988</v>
      </c>
      <c r="G20" s="13">
        <v>0.59699999999999998</v>
      </c>
    </row>
    <row r="21" spans="1:7" x14ac:dyDescent="0.35">
      <c r="A21" t="s">
        <v>6151</v>
      </c>
      <c r="B21" t="s">
        <v>6192</v>
      </c>
      <c r="C21" t="s">
        <v>6188</v>
      </c>
      <c r="D21" s="1">
        <v>2.5</v>
      </c>
      <c r="E21">
        <v>22.884999999999998</v>
      </c>
      <c r="F21">
        <v>0.91539999999999988</v>
      </c>
      <c r="G21" s="13">
        <v>1.3730999999999998</v>
      </c>
    </row>
    <row r="22" spans="1:7" x14ac:dyDescent="0.35">
      <c r="A22" t="s">
        <v>6163</v>
      </c>
      <c r="B22" t="s">
        <v>6192</v>
      </c>
      <c r="C22" t="s">
        <v>6187</v>
      </c>
      <c r="D22" s="1">
        <v>0.2</v>
      </c>
      <c r="E22">
        <v>2.6849999999999996</v>
      </c>
      <c r="F22">
        <v>1.3424999999999998</v>
      </c>
      <c r="G22" s="13">
        <v>0.16109999999999997</v>
      </c>
    </row>
    <row r="23" spans="1:7" x14ac:dyDescent="0.35">
      <c r="A23" t="s">
        <v>6172</v>
      </c>
      <c r="B23" t="s">
        <v>6192</v>
      </c>
      <c r="C23" t="s">
        <v>6187</v>
      </c>
      <c r="D23" s="1">
        <v>0.5</v>
      </c>
      <c r="E23">
        <v>5.3699999999999992</v>
      </c>
      <c r="F23">
        <v>1.0739999999999998</v>
      </c>
      <c r="G23" s="13">
        <v>0.32219999999999993</v>
      </c>
    </row>
    <row r="24" spans="1:7" x14ac:dyDescent="0.35">
      <c r="A24" t="s">
        <v>6177</v>
      </c>
      <c r="B24" t="s">
        <v>6192</v>
      </c>
      <c r="C24" t="s">
        <v>6187</v>
      </c>
      <c r="D24" s="1">
        <v>1</v>
      </c>
      <c r="E24">
        <v>8.9499999999999993</v>
      </c>
      <c r="F24">
        <v>0.89499999999999991</v>
      </c>
      <c r="G24" s="13">
        <v>0.53699999999999992</v>
      </c>
    </row>
    <row r="25" spans="1:7" x14ac:dyDescent="0.35">
      <c r="A25" t="s">
        <v>6149</v>
      </c>
      <c r="B25" t="s">
        <v>6192</v>
      </c>
      <c r="C25" t="s">
        <v>6187</v>
      </c>
      <c r="D25" s="1">
        <v>2.5</v>
      </c>
      <c r="E25">
        <v>20.584999999999997</v>
      </c>
      <c r="F25">
        <v>0.82339999999999991</v>
      </c>
      <c r="G25" s="13">
        <v>1.2350999999999999</v>
      </c>
    </row>
    <row r="26" spans="1:7" x14ac:dyDescent="0.35">
      <c r="A26" t="s">
        <v>6145</v>
      </c>
      <c r="B26" t="s">
        <v>6195</v>
      </c>
      <c r="C26" t="s">
        <v>6186</v>
      </c>
      <c r="D26" s="1">
        <v>0.2</v>
      </c>
      <c r="E26">
        <v>4.7549999999999999</v>
      </c>
      <c r="F26">
        <v>2.3774999999999999</v>
      </c>
      <c r="G26" s="13">
        <v>0.61814999999999998</v>
      </c>
    </row>
    <row r="27" spans="1:7" x14ac:dyDescent="0.35">
      <c r="A27" t="s">
        <v>6161</v>
      </c>
      <c r="B27" t="s">
        <v>6195</v>
      </c>
      <c r="C27" t="s">
        <v>6186</v>
      </c>
      <c r="D27" s="1">
        <v>0.5</v>
      </c>
      <c r="E27">
        <v>9.51</v>
      </c>
      <c r="F27">
        <v>1.9019999999999999</v>
      </c>
      <c r="G27" s="13">
        <v>1.2363</v>
      </c>
    </row>
    <row r="28" spans="1:7" x14ac:dyDescent="0.35">
      <c r="A28" t="s">
        <v>6170</v>
      </c>
      <c r="B28" t="s">
        <v>6195</v>
      </c>
      <c r="C28" t="s">
        <v>6186</v>
      </c>
      <c r="D28" s="1">
        <v>1</v>
      </c>
      <c r="E28">
        <v>15.85</v>
      </c>
      <c r="F28">
        <v>1.585</v>
      </c>
      <c r="G28" s="13">
        <v>2.0605000000000002</v>
      </c>
    </row>
    <row r="29" spans="1:7" x14ac:dyDescent="0.35">
      <c r="A29" t="s">
        <v>6164</v>
      </c>
      <c r="B29" t="s">
        <v>6195</v>
      </c>
      <c r="C29" t="s">
        <v>6186</v>
      </c>
      <c r="D29" s="1">
        <v>2.5</v>
      </c>
      <c r="E29">
        <v>36.454999999999998</v>
      </c>
      <c r="F29">
        <v>1.4581999999999999</v>
      </c>
      <c r="G29" s="13">
        <v>4.7391499999999995</v>
      </c>
    </row>
    <row r="30" spans="1:7" x14ac:dyDescent="0.35">
      <c r="A30" t="s">
        <v>6159</v>
      </c>
      <c r="B30" t="s">
        <v>6195</v>
      </c>
      <c r="C30" t="s">
        <v>6188</v>
      </c>
      <c r="D30" s="1">
        <v>0.2</v>
      </c>
      <c r="E30">
        <v>4.3650000000000002</v>
      </c>
      <c r="F30">
        <v>2.1825000000000001</v>
      </c>
      <c r="G30" s="13">
        <v>0.56745000000000001</v>
      </c>
    </row>
    <row r="31" spans="1:7" x14ac:dyDescent="0.35">
      <c r="A31" t="s">
        <v>6160</v>
      </c>
      <c r="B31" t="s">
        <v>6195</v>
      </c>
      <c r="C31" t="s">
        <v>6188</v>
      </c>
      <c r="D31" s="1">
        <v>0.5</v>
      </c>
      <c r="E31">
        <v>8.73</v>
      </c>
      <c r="F31">
        <v>1.746</v>
      </c>
      <c r="G31" s="13">
        <v>1.1349</v>
      </c>
    </row>
    <row r="32" spans="1:7" x14ac:dyDescent="0.35">
      <c r="A32" t="s">
        <v>6162</v>
      </c>
      <c r="B32" t="s">
        <v>6195</v>
      </c>
      <c r="C32" t="s">
        <v>6188</v>
      </c>
      <c r="D32" s="1">
        <v>1</v>
      </c>
      <c r="E32">
        <v>14.55</v>
      </c>
      <c r="F32">
        <v>1.4550000000000001</v>
      </c>
      <c r="G32" s="13">
        <v>1.8915000000000002</v>
      </c>
    </row>
    <row r="33" spans="1:7" x14ac:dyDescent="0.35">
      <c r="A33" t="s">
        <v>6181</v>
      </c>
      <c r="B33" t="s">
        <v>6195</v>
      </c>
      <c r="C33" t="s">
        <v>6188</v>
      </c>
      <c r="D33" s="1">
        <v>2.5</v>
      </c>
      <c r="E33">
        <v>33.464999999999996</v>
      </c>
      <c r="F33">
        <v>1.3385999999999998</v>
      </c>
      <c r="G33" s="13">
        <v>4.3504499999999995</v>
      </c>
    </row>
    <row r="34" spans="1:7" x14ac:dyDescent="0.35">
      <c r="A34" t="s">
        <v>6150</v>
      </c>
      <c r="B34" t="s">
        <v>6195</v>
      </c>
      <c r="C34" t="s">
        <v>6187</v>
      </c>
      <c r="D34" s="1">
        <v>0.2</v>
      </c>
      <c r="E34">
        <v>3.8849999999999998</v>
      </c>
      <c r="F34">
        <v>1.9424999999999999</v>
      </c>
      <c r="G34" s="13">
        <v>0.50505</v>
      </c>
    </row>
    <row r="35" spans="1:7" x14ac:dyDescent="0.35">
      <c r="A35" t="s">
        <v>6169</v>
      </c>
      <c r="B35" t="s">
        <v>6195</v>
      </c>
      <c r="C35" t="s">
        <v>6187</v>
      </c>
      <c r="D35" s="1">
        <v>0.5</v>
      </c>
      <c r="E35">
        <v>7.77</v>
      </c>
      <c r="F35">
        <v>1.5539999999999998</v>
      </c>
      <c r="G35" s="13">
        <v>1.0101</v>
      </c>
    </row>
    <row r="36" spans="1:7" x14ac:dyDescent="0.35">
      <c r="A36" t="s">
        <v>6143</v>
      </c>
      <c r="B36" t="s">
        <v>6195</v>
      </c>
      <c r="C36" t="s">
        <v>6187</v>
      </c>
      <c r="D36" s="1">
        <v>1</v>
      </c>
      <c r="E36">
        <v>12.95</v>
      </c>
      <c r="F36">
        <v>1.2949999999999999</v>
      </c>
      <c r="G36" s="13">
        <v>1.6835</v>
      </c>
    </row>
    <row r="37" spans="1:7" x14ac:dyDescent="0.35">
      <c r="A37" t="s">
        <v>6165</v>
      </c>
      <c r="B37" t="s">
        <v>6195</v>
      </c>
      <c r="C37" t="s">
        <v>6187</v>
      </c>
      <c r="D37" s="1">
        <v>2.5</v>
      </c>
      <c r="E37">
        <v>29.784999999999997</v>
      </c>
      <c r="F37">
        <v>1.1913999999999998</v>
      </c>
      <c r="G37" s="13">
        <v>3.8720499999999998</v>
      </c>
    </row>
    <row r="38" spans="1:7" x14ac:dyDescent="0.35">
      <c r="A38" t="s">
        <v>6184</v>
      </c>
      <c r="B38" t="s">
        <v>6194</v>
      </c>
      <c r="C38" t="s">
        <v>6186</v>
      </c>
      <c r="D38" s="1">
        <v>0.2</v>
      </c>
      <c r="E38">
        <v>4.4550000000000001</v>
      </c>
      <c r="F38">
        <v>2.2275</v>
      </c>
      <c r="G38" s="13">
        <v>0.49004999999999999</v>
      </c>
    </row>
    <row r="39" spans="1:7" x14ac:dyDescent="0.35">
      <c r="A39" t="s">
        <v>6176</v>
      </c>
      <c r="B39" t="s">
        <v>6194</v>
      </c>
      <c r="C39" t="s">
        <v>6186</v>
      </c>
      <c r="D39" s="1">
        <v>0.5</v>
      </c>
      <c r="E39">
        <v>8.91</v>
      </c>
      <c r="F39">
        <v>1.782</v>
      </c>
      <c r="G39" s="13">
        <v>0.98009999999999997</v>
      </c>
    </row>
    <row r="40" spans="1:7" x14ac:dyDescent="0.35">
      <c r="A40" t="s">
        <v>6171</v>
      </c>
      <c r="B40" t="s">
        <v>6194</v>
      </c>
      <c r="C40" t="s">
        <v>6186</v>
      </c>
      <c r="D40" s="1">
        <v>1</v>
      </c>
      <c r="E40">
        <v>14.85</v>
      </c>
      <c r="F40">
        <v>1.4849999999999999</v>
      </c>
      <c r="G40" s="13">
        <v>1.6335</v>
      </c>
    </row>
    <row r="41" spans="1:7" x14ac:dyDescent="0.35">
      <c r="A41" t="s">
        <v>6148</v>
      </c>
      <c r="B41" t="s">
        <v>6194</v>
      </c>
      <c r="C41" t="s">
        <v>6186</v>
      </c>
      <c r="D41" s="1">
        <v>2.5</v>
      </c>
      <c r="E41">
        <v>34.154999999999994</v>
      </c>
      <c r="F41">
        <v>1.3661999999999999</v>
      </c>
      <c r="G41" s="13">
        <v>3.7570499999999996</v>
      </c>
    </row>
    <row r="42" spans="1:7" x14ac:dyDescent="0.35">
      <c r="A42" t="s">
        <v>6156</v>
      </c>
      <c r="B42" t="s">
        <v>6194</v>
      </c>
      <c r="C42" t="s">
        <v>6188</v>
      </c>
      <c r="D42" s="1">
        <v>0.2</v>
      </c>
      <c r="E42">
        <v>4.125</v>
      </c>
      <c r="F42">
        <v>2.0625</v>
      </c>
      <c r="G42" s="13">
        <v>0.45374999999999999</v>
      </c>
    </row>
    <row r="43" spans="1:7" x14ac:dyDescent="0.35">
      <c r="A43" t="s">
        <v>6139</v>
      </c>
      <c r="B43" t="s">
        <v>6194</v>
      </c>
      <c r="C43" t="s">
        <v>6188</v>
      </c>
      <c r="D43" s="1">
        <v>0.5</v>
      </c>
      <c r="E43">
        <v>8.25</v>
      </c>
      <c r="F43">
        <v>1.65</v>
      </c>
      <c r="G43" s="13">
        <v>0.90749999999999997</v>
      </c>
    </row>
    <row r="44" spans="1:7" x14ac:dyDescent="0.35">
      <c r="A44" t="s">
        <v>6141</v>
      </c>
      <c r="B44" t="s">
        <v>6194</v>
      </c>
      <c r="C44" t="s">
        <v>6188</v>
      </c>
      <c r="D44" s="1">
        <v>1</v>
      </c>
      <c r="E44">
        <v>13.75</v>
      </c>
      <c r="F44">
        <v>1.375</v>
      </c>
      <c r="G44" s="13">
        <v>1.5125</v>
      </c>
    </row>
    <row r="45" spans="1:7" x14ac:dyDescent="0.35">
      <c r="A45" t="s">
        <v>6166</v>
      </c>
      <c r="B45" t="s">
        <v>6194</v>
      </c>
      <c r="C45" t="s">
        <v>6188</v>
      </c>
      <c r="D45" s="1">
        <v>2.5</v>
      </c>
      <c r="E45">
        <v>31.624999999999996</v>
      </c>
      <c r="F45">
        <v>1.2649999999999999</v>
      </c>
      <c r="G45" s="13">
        <v>3.4787499999999998</v>
      </c>
    </row>
    <row r="46" spans="1:7" x14ac:dyDescent="0.35">
      <c r="A46" t="s">
        <v>6153</v>
      </c>
      <c r="B46" t="s">
        <v>6194</v>
      </c>
      <c r="C46" t="s">
        <v>6187</v>
      </c>
      <c r="D46" s="1">
        <v>0.2</v>
      </c>
      <c r="E46">
        <v>3.645</v>
      </c>
      <c r="F46">
        <v>1.8225</v>
      </c>
      <c r="G46" s="13">
        <v>0.40095000000000003</v>
      </c>
    </row>
    <row r="47" spans="1:7" x14ac:dyDescent="0.35">
      <c r="A47" t="s">
        <v>6144</v>
      </c>
      <c r="B47" t="s">
        <v>6194</v>
      </c>
      <c r="C47" t="s">
        <v>6187</v>
      </c>
      <c r="D47" s="1">
        <v>0.5</v>
      </c>
      <c r="E47">
        <v>7.29</v>
      </c>
      <c r="F47">
        <v>1.458</v>
      </c>
      <c r="G47" s="13">
        <v>0.80190000000000006</v>
      </c>
    </row>
    <row r="48" spans="1:7" x14ac:dyDescent="0.35">
      <c r="A48" t="s">
        <v>6183</v>
      </c>
      <c r="B48" t="s">
        <v>6194</v>
      </c>
      <c r="C48" t="s">
        <v>6187</v>
      </c>
      <c r="D48" s="1">
        <v>1</v>
      </c>
      <c r="E48">
        <v>12.15</v>
      </c>
      <c r="F48">
        <v>1.2150000000000001</v>
      </c>
      <c r="G48" s="13">
        <v>1.3365</v>
      </c>
    </row>
    <row r="49" spans="1:7" x14ac:dyDescent="0.35">
      <c r="A49" t="s">
        <v>6185</v>
      </c>
      <c r="B49" t="s">
        <v>6194</v>
      </c>
      <c r="C49" t="s">
        <v>6187</v>
      </c>
      <c r="D49" s="1">
        <v>2.5</v>
      </c>
      <c r="E49">
        <v>27.945</v>
      </c>
      <c r="F49">
        <v>1.1177999999999999</v>
      </c>
      <c r="G49" s="13">
        <v>3.07395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4048F-0C5C-4A8B-8CAA-E1E98D853C71}">
  <dimension ref="A3:F48"/>
  <sheetViews>
    <sheetView workbookViewId="0">
      <selection activeCell="C4" sqref="C4"/>
    </sheetView>
  </sheetViews>
  <sheetFormatPr defaultRowHeight="14.5" x14ac:dyDescent="0.35"/>
  <cols>
    <col min="1" max="1" width="12.6328125" bestFit="1" customWidth="1"/>
    <col min="2" max="2" width="21.08984375" bestFit="1" customWidth="1"/>
    <col min="3" max="3" width="19.1796875" bestFit="1" customWidth="1"/>
    <col min="4" max="4" width="8.1796875" bestFit="1" customWidth="1"/>
    <col min="5" max="5" width="7.453125" bestFit="1" customWidth="1"/>
    <col min="6" max="7" width="7.7265625" bestFit="1" customWidth="1"/>
  </cols>
  <sheetData>
    <row r="3" spans="1:6" x14ac:dyDescent="0.35">
      <c r="A3" s="5" t="s">
        <v>6220</v>
      </c>
      <c r="C3" s="5" t="s">
        <v>6196</v>
      </c>
    </row>
    <row r="4" spans="1:6" x14ac:dyDescent="0.35">
      <c r="A4" s="5" t="s">
        <v>6214</v>
      </c>
      <c r="B4" s="5" t="s">
        <v>6215</v>
      </c>
      <c r="C4" t="s">
        <v>6216</v>
      </c>
      <c r="D4" t="s">
        <v>6217</v>
      </c>
      <c r="E4" t="s">
        <v>6218</v>
      </c>
      <c r="F4" t="s">
        <v>6219</v>
      </c>
    </row>
    <row r="5" spans="1:6" x14ac:dyDescent="0.35">
      <c r="A5" t="s">
        <v>6198</v>
      </c>
      <c r="B5" t="s">
        <v>6202</v>
      </c>
      <c r="C5" s="6">
        <v>186.85499999999999</v>
      </c>
      <c r="D5" s="6">
        <v>305.97000000000003</v>
      </c>
      <c r="E5" s="6">
        <v>213.15999999999997</v>
      </c>
      <c r="F5" s="6">
        <v>123</v>
      </c>
    </row>
    <row r="6" spans="1:6" x14ac:dyDescent="0.35">
      <c r="B6" t="s">
        <v>6203</v>
      </c>
      <c r="C6" s="6">
        <v>251.96499999999997</v>
      </c>
      <c r="D6" s="6">
        <v>129.46</v>
      </c>
      <c r="E6" s="6">
        <v>434.03999999999996</v>
      </c>
      <c r="F6" s="6">
        <v>171.93999999999997</v>
      </c>
    </row>
    <row r="7" spans="1:6" x14ac:dyDescent="0.35">
      <c r="B7" t="s">
        <v>6204</v>
      </c>
      <c r="C7" s="6">
        <v>224.94499999999999</v>
      </c>
      <c r="D7" s="6">
        <v>349.12</v>
      </c>
      <c r="E7" s="6">
        <v>321.04000000000002</v>
      </c>
      <c r="F7" s="6">
        <v>126.035</v>
      </c>
    </row>
    <row r="8" spans="1:6" x14ac:dyDescent="0.35">
      <c r="B8" t="s">
        <v>6205</v>
      </c>
      <c r="C8" s="6">
        <v>307.12</v>
      </c>
      <c r="D8" s="6">
        <v>681.07499999999993</v>
      </c>
      <c r="E8" s="6">
        <v>533.70499999999993</v>
      </c>
      <c r="F8" s="6">
        <v>158.85</v>
      </c>
    </row>
    <row r="9" spans="1:6" x14ac:dyDescent="0.35">
      <c r="B9" t="s">
        <v>6206</v>
      </c>
      <c r="C9" s="6">
        <v>53.664999999999992</v>
      </c>
      <c r="D9" s="6">
        <v>83.025000000000006</v>
      </c>
      <c r="E9" s="6">
        <v>193.83499999999998</v>
      </c>
      <c r="F9" s="6">
        <v>68.039999999999992</v>
      </c>
    </row>
    <row r="10" spans="1:6" x14ac:dyDescent="0.35">
      <c r="B10" t="s">
        <v>6207</v>
      </c>
      <c r="C10" s="6">
        <v>163.01999999999998</v>
      </c>
      <c r="D10" s="6">
        <v>678.3599999999999</v>
      </c>
      <c r="E10" s="6">
        <v>171.04500000000002</v>
      </c>
      <c r="F10" s="6">
        <v>372.255</v>
      </c>
    </row>
    <row r="11" spans="1:6" x14ac:dyDescent="0.35">
      <c r="B11" t="s">
        <v>6208</v>
      </c>
      <c r="C11" s="6">
        <v>345.02</v>
      </c>
      <c r="D11" s="6">
        <v>273.86999999999995</v>
      </c>
      <c r="E11" s="6">
        <v>184.12999999999997</v>
      </c>
      <c r="F11" s="6">
        <v>201.11499999999998</v>
      </c>
    </row>
    <row r="12" spans="1:6" x14ac:dyDescent="0.35">
      <c r="B12" t="s">
        <v>6209</v>
      </c>
      <c r="C12" s="6">
        <v>334.89</v>
      </c>
      <c r="D12" s="6">
        <v>70.95</v>
      </c>
      <c r="E12" s="6">
        <v>134.23000000000002</v>
      </c>
      <c r="F12" s="6">
        <v>166.27499999999998</v>
      </c>
    </row>
    <row r="13" spans="1:6" x14ac:dyDescent="0.35">
      <c r="B13" t="s">
        <v>6210</v>
      </c>
      <c r="C13" s="6">
        <v>178.70999999999998</v>
      </c>
      <c r="D13" s="6">
        <v>166.1</v>
      </c>
      <c r="E13" s="6">
        <v>439.30999999999995</v>
      </c>
      <c r="F13" s="6">
        <v>492.9</v>
      </c>
    </row>
    <row r="14" spans="1:6" x14ac:dyDescent="0.35">
      <c r="B14" t="s">
        <v>6211</v>
      </c>
      <c r="C14" s="6">
        <v>301.98500000000001</v>
      </c>
      <c r="D14" s="6">
        <v>153.76499999999999</v>
      </c>
      <c r="E14" s="6">
        <v>215.55499999999998</v>
      </c>
      <c r="F14" s="6">
        <v>213.66499999999999</v>
      </c>
    </row>
    <row r="15" spans="1:6" x14ac:dyDescent="0.35">
      <c r="B15" t="s">
        <v>6212</v>
      </c>
      <c r="C15" s="6">
        <v>312.83499999999998</v>
      </c>
      <c r="D15" s="6">
        <v>63.249999999999993</v>
      </c>
      <c r="E15" s="6">
        <v>350.89500000000004</v>
      </c>
      <c r="F15" s="6">
        <v>96.405000000000001</v>
      </c>
    </row>
    <row r="16" spans="1:6" x14ac:dyDescent="0.35">
      <c r="B16" t="s">
        <v>6213</v>
      </c>
      <c r="C16" s="6">
        <v>265.62</v>
      </c>
      <c r="D16" s="6">
        <v>526.51499999999987</v>
      </c>
      <c r="E16" s="6">
        <v>187.06</v>
      </c>
      <c r="F16" s="6">
        <v>210.58999999999997</v>
      </c>
    </row>
    <row r="17" spans="1:6" x14ac:dyDescent="0.35">
      <c r="A17" t="s">
        <v>6199</v>
      </c>
      <c r="B17" t="s">
        <v>6202</v>
      </c>
      <c r="C17" s="6">
        <v>47.25</v>
      </c>
      <c r="D17" s="6">
        <v>65.805000000000007</v>
      </c>
      <c r="E17" s="6">
        <v>274.67500000000001</v>
      </c>
      <c r="F17" s="6">
        <v>179.22</v>
      </c>
    </row>
    <row r="18" spans="1:6" x14ac:dyDescent="0.35">
      <c r="B18" t="s">
        <v>6203</v>
      </c>
      <c r="C18" s="6">
        <v>745.44999999999993</v>
      </c>
      <c r="D18" s="6">
        <v>428.88499999999999</v>
      </c>
      <c r="E18" s="6">
        <v>194.17499999999998</v>
      </c>
      <c r="F18" s="6">
        <v>429.82999999999993</v>
      </c>
    </row>
    <row r="19" spans="1:6" x14ac:dyDescent="0.35">
      <c r="B19" t="s">
        <v>6204</v>
      </c>
      <c r="C19" s="6">
        <v>130.47</v>
      </c>
      <c r="D19" s="6">
        <v>271.48500000000001</v>
      </c>
      <c r="E19" s="6">
        <v>281.20499999999998</v>
      </c>
      <c r="F19" s="6">
        <v>231.63000000000002</v>
      </c>
    </row>
    <row r="20" spans="1:6" x14ac:dyDescent="0.35">
      <c r="B20" t="s">
        <v>6205</v>
      </c>
      <c r="C20" s="6">
        <v>27</v>
      </c>
      <c r="D20" s="6">
        <v>347.26</v>
      </c>
      <c r="E20" s="6">
        <v>147.51</v>
      </c>
      <c r="F20" s="6">
        <v>240.04</v>
      </c>
    </row>
    <row r="21" spans="1:6" x14ac:dyDescent="0.35">
      <c r="B21" t="s">
        <v>6206</v>
      </c>
      <c r="C21" s="6">
        <v>255.11499999999995</v>
      </c>
      <c r="D21" s="6">
        <v>541.73</v>
      </c>
      <c r="E21" s="6">
        <v>83.43</v>
      </c>
      <c r="F21" s="6">
        <v>59.079999999999991</v>
      </c>
    </row>
    <row r="22" spans="1:6" x14ac:dyDescent="0.35">
      <c r="B22" t="s">
        <v>6207</v>
      </c>
      <c r="C22" s="6">
        <v>584.78999999999985</v>
      </c>
      <c r="D22" s="6">
        <v>357.42999999999995</v>
      </c>
      <c r="E22" s="6">
        <v>355.34</v>
      </c>
      <c r="F22" s="6">
        <v>140.88</v>
      </c>
    </row>
    <row r="23" spans="1:6" x14ac:dyDescent="0.35">
      <c r="B23" t="s">
        <v>6208</v>
      </c>
      <c r="C23" s="6">
        <v>430.62</v>
      </c>
      <c r="D23" s="6">
        <v>227.42500000000001</v>
      </c>
      <c r="E23" s="6">
        <v>236.315</v>
      </c>
      <c r="F23" s="6">
        <v>414.58499999999992</v>
      </c>
    </row>
    <row r="24" spans="1:6" x14ac:dyDescent="0.35">
      <c r="B24" t="s">
        <v>6209</v>
      </c>
      <c r="C24" s="6">
        <v>22.5</v>
      </c>
      <c r="D24" s="6">
        <v>77.72</v>
      </c>
      <c r="E24" s="6">
        <v>60.5</v>
      </c>
      <c r="F24" s="6">
        <v>139.67999999999998</v>
      </c>
    </row>
    <row r="25" spans="1:6" x14ac:dyDescent="0.35">
      <c r="B25" t="s">
        <v>6210</v>
      </c>
      <c r="C25" s="6">
        <v>126.14999999999999</v>
      </c>
      <c r="D25" s="6">
        <v>195.11</v>
      </c>
      <c r="E25" s="6">
        <v>89.13</v>
      </c>
      <c r="F25" s="6">
        <v>302.65999999999997</v>
      </c>
    </row>
    <row r="26" spans="1:6" x14ac:dyDescent="0.35">
      <c r="B26" t="s">
        <v>6211</v>
      </c>
      <c r="C26" s="6">
        <v>376.03</v>
      </c>
      <c r="D26" s="6">
        <v>523.24</v>
      </c>
      <c r="E26" s="6">
        <v>440.96499999999997</v>
      </c>
      <c r="F26" s="6">
        <v>174.46999999999997</v>
      </c>
    </row>
    <row r="27" spans="1:6" x14ac:dyDescent="0.35">
      <c r="B27" t="s">
        <v>6212</v>
      </c>
      <c r="C27" s="6">
        <v>515.17999999999995</v>
      </c>
      <c r="D27" s="6">
        <v>142.56</v>
      </c>
      <c r="E27" s="6">
        <v>347.03999999999996</v>
      </c>
      <c r="F27" s="6">
        <v>104.08499999999999</v>
      </c>
    </row>
    <row r="28" spans="1:6" x14ac:dyDescent="0.35">
      <c r="B28" t="s">
        <v>6213</v>
      </c>
      <c r="C28" s="6">
        <v>95.859999999999985</v>
      </c>
      <c r="D28" s="6">
        <v>484.76</v>
      </c>
      <c r="E28" s="6">
        <v>94.17</v>
      </c>
      <c r="F28" s="6">
        <v>77.10499999999999</v>
      </c>
    </row>
    <row r="29" spans="1:6" x14ac:dyDescent="0.35">
      <c r="A29" t="s">
        <v>6200</v>
      </c>
      <c r="B29" t="s">
        <v>6202</v>
      </c>
      <c r="C29" s="6">
        <v>258.34500000000003</v>
      </c>
      <c r="D29" s="6">
        <v>139.625</v>
      </c>
      <c r="E29" s="6">
        <v>279.52000000000004</v>
      </c>
      <c r="F29" s="6">
        <v>160.19499999999999</v>
      </c>
    </row>
    <row r="30" spans="1:6" x14ac:dyDescent="0.35">
      <c r="B30" t="s">
        <v>6203</v>
      </c>
      <c r="C30" s="6">
        <v>342.2</v>
      </c>
      <c r="D30" s="6">
        <v>284.24999999999994</v>
      </c>
      <c r="E30" s="6">
        <v>251.83</v>
      </c>
      <c r="F30" s="6">
        <v>80.550000000000011</v>
      </c>
    </row>
    <row r="31" spans="1:6" x14ac:dyDescent="0.35">
      <c r="B31" t="s">
        <v>6204</v>
      </c>
      <c r="C31" s="6">
        <v>418.30499999999989</v>
      </c>
      <c r="D31" s="6">
        <v>468.125</v>
      </c>
      <c r="E31" s="6">
        <v>405.05500000000006</v>
      </c>
      <c r="F31" s="6">
        <v>253.15499999999997</v>
      </c>
    </row>
    <row r="32" spans="1:6" x14ac:dyDescent="0.35">
      <c r="B32" t="s">
        <v>6205</v>
      </c>
      <c r="C32" s="6">
        <v>102.32999999999998</v>
      </c>
      <c r="D32" s="6">
        <v>242.14000000000001</v>
      </c>
      <c r="E32" s="6">
        <v>554.875</v>
      </c>
      <c r="F32" s="6">
        <v>106.23999999999998</v>
      </c>
    </row>
    <row r="33" spans="1:6" x14ac:dyDescent="0.35">
      <c r="B33" t="s">
        <v>6206</v>
      </c>
      <c r="C33" s="6">
        <v>234.71999999999997</v>
      </c>
      <c r="D33" s="6">
        <v>133.08000000000001</v>
      </c>
      <c r="E33" s="6">
        <v>267.2</v>
      </c>
      <c r="F33" s="6">
        <v>272.68999999999994</v>
      </c>
    </row>
    <row r="34" spans="1:6" x14ac:dyDescent="0.35">
      <c r="B34" t="s">
        <v>6207</v>
      </c>
      <c r="C34" s="6">
        <v>430.39</v>
      </c>
      <c r="D34" s="6">
        <v>136.20500000000001</v>
      </c>
      <c r="E34" s="6">
        <v>209.6</v>
      </c>
      <c r="F34" s="6">
        <v>88.334999999999994</v>
      </c>
    </row>
    <row r="35" spans="1:6" x14ac:dyDescent="0.35">
      <c r="B35" t="s">
        <v>6208</v>
      </c>
      <c r="C35" s="6">
        <v>109.005</v>
      </c>
      <c r="D35" s="6">
        <v>393.57499999999999</v>
      </c>
      <c r="E35" s="6">
        <v>61.034999999999997</v>
      </c>
      <c r="F35" s="6">
        <v>199.48999999999998</v>
      </c>
    </row>
    <row r="36" spans="1:6" x14ac:dyDescent="0.35">
      <c r="B36" t="s">
        <v>6209</v>
      </c>
      <c r="C36" s="6">
        <v>287.52499999999998</v>
      </c>
      <c r="D36" s="6">
        <v>288.67</v>
      </c>
      <c r="E36" s="6">
        <v>125.58</v>
      </c>
      <c r="F36" s="6">
        <v>374.13499999999999</v>
      </c>
    </row>
    <row r="37" spans="1:6" x14ac:dyDescent="0.35">
      <c r="B37" t="s">
        <v>6210</v>
      </c>
      <c r="C37" s="6">
        <v>840.92999999999984</v>
      </c>
      <c r="D37" s="6">
        <v>409.875</v>
      </c>
      <c r="E37" s="6">
        <v>171.32999999999998</v>
      </c>
      <c r="F37" s="6">
        <v>221.43999999999997</v>
      </c>
    </row>
    <row r="38" spans="1:6" x14ac:dyDescent="0.35">
      <c r="B38" t="s">
        <v>6211</v>
      </c>
      <c r="C38" s="6">
        <v>299.07</v>
      </c>
      <c r="D38" s="6">
        <v>260.32499999999999</v>
      </c>
      <c r="E38" s="6">
        <v>584.64</v>
      </c>
      <c r="F38" s="6">
        <v>256.36500000000001</v>
      </c>
    </row>
    <row r="39" spans="1:6" x14ac:dyDescent="0.35">
      <c r="B39" t="s">
        <v>6212</v>
      </c>
      <c r="C39" s="6">
        <v>323.32499999999999</v>
      </c>
      <c r="D39" s="6">
        <v>565.57000000000005</v>
      </c>
      <c r="E39" s="6">
        <v>537.80999999999995</v>
      </c>
      <c r="F39" s="6">
        <v>189.47499999999999</v>
      </c>
    </row>
    <row r="40" spans="1:6" x14ac:dyDescent="0.35">
      <c r="B40" t="s">
        <v>6213</v>
      </c>
      <c r="C40" s="6">
        <v>399.48499999999996</v>
      </c>
      <c r="D40" s="6">
        <v>148.19999999999999</v>
      </c>
      <c r="E40" s="6">
        <v>388.21999999999997</v>
      </c>
      <c r="F40" s="6">
        <v>212.07499999999999</v>
      </c>
    </row>
    <row r="41" spans="1:6" x14ac:dyDescent="0.35">
      <c r="A41" t="s">
        <v>6201</v>
      </c>
      <c r="B41" t="s">
        <v>6202</v>
      </c>
      <c r="C41" s="6">
        <v>112.69499999999999</v>
      </c>
      <c r="D41" s="6">
        <v>166.32</v>
      </c>
      <c r="E41" s="6">
        <v>843.71499999999992</v>
      </c>
      <c r="F41" s="6">
        <v>146.685</v>
      </c>
    </row>
    <row r="42" spans="1:6" x14ac:dyDescent="0.35">
      <c r="B42" t="s">
        <v>6203</v>
      </c>
      <c r="C42" s="6">
        <v>114.87999999999998</v>
      </c>
      <c r="D42" s="6">
        <v>133.815</v>
      </c>
      <c r="E42" s="6">
        <v>91.175000000000011</v>
      </c>
      <c r="F42" s="6">
        <v>53.759999999999991</v>
      </c>
    </row>
    <row r="43" spans="1:6" x14ac:dyDescent="0.35">
      <c r="B43" t="s">
        <v>6204</v>
      </c>
      <c r="C43" s="6">
        <v>277.76</v>
      </c>
      <c r="D43" s="6">
        <v>175.41</v>
      </c>
      <c r="E43" s="6">
        <v>462.50999999999993</v>
      </c>
      <c r="F43" s="6">
        <v>399.52499999999998</v>
      </c>
    </row>
    <row r="44" spans="1:6" x14ac:dyDescent="0.35">
      <c r="B44" t="s">
        <v>6205</v>
      </c>
      <c r="C44" s="6">
        <v>197.89499999999998</v>
      </c>
      <c r="D44" s="6">
        <v>289.755</v>
      </c>
      <c r="E44" s="6">
        <v>88.545000000000002</v>
      </c>
      <c r="F44" s="6">
        <v>200.25499999999997</v>
      </c>
    </row>
    <row r="45" spans="1:6" x14ac:dyDescent="0.35">
      <c r="B45" t="s">
        <v>6206</v>
      </c>
      <c r="C45" s="6">
        <v>193.11499999999998</v>
      </c>
      <c r="D45" s="6">
        <v>212.49499999999998</v>
      </c>
      <c r="E45" s="6">
        <v>292.29000000000002</v>
      </c>
      <c r="F45" s="6">
        <v>304.46999999999997</v>
      </c>
    </row>
    <row r="46" spans="1:6" x14ac:dyDescent="0.35">
      <c r="B46" t="s">
        <v>6207</v>
      </c>
      <c r="C46" s="6">
        <v>179.79</v>
      </c>
      <c r="D46" s="6">
        <v>426.2</v>
      </c>
      <c r="E46" s="6">
        <v>170.08999999999997</v>
      </c>
      <c r="F46" s="6">
        <v>379.31</v>
      </c>
    </row>
    <row r="47" spans="1:6" x14ac:dyDescent="0.35">
      <c r="B47" t="s">
        <v>6208</v>
      </c>
      <c r="C47" s="6">
        <v>247.28999999999996</v>
      </c>
      <c r="D47" s="6">
        <v>246.685</v>
      </c>
      <c r="E47" s="6">
        <v>271.05499999999995</v>
      </c>
      <c r="F47" s="6">
        <v>141.69999999999999</v>
      </c>
    </row>
    <row r="48" spans="1:6" x14ac:dyDescent="0.35">
      <c r="B48" t="s">
        <v>6209</v>
      </c>
      <c r="C48" s="6">
        <v>116.39499999999998</v>
      </c>
      <c r="D48" s="6">
        <v>41.25</v>
      </c>
      <c r="E48" s="6">
        <v>15.54</v>
      </c>
      <c r="F48" s="6">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421B3-0AE1-42FB-830B-30EA382E283B}">
  <dimension ref="A3:G13"/>
  <sheetViews>
    <sheetView workbookViewId="0">
      <selection activeCell="B5" sqref="B5"/>
    </sheetView>
  </sheetViews>
  <sheetFormatPr defaultRowHeight="14.5" x14ac:dyDescent="0.35"/>
  <cols>
    <col min="1" max="1" width="14.7265625" bestFit="1" customWidth="1"/>
    <col min="2" max="3" width="11.54296875" bestFit="1" customWidth="1"/>
    <col min="4" max="4" width="8.1796875" bestFit="1" customWidth="1"/>
    <col min="5" max="5" width="7.453125" bestFit="1" customWidth="1"/>
    <col min="6" max="6" width="7.7265625" bestFit="1" customWidth="1"/>
  </cols>
  <sheetData>
    <row r="3" spans="1:7" x14ac:dyDescent="0.35">
      <c r="A3" s="5" t="s">
        <v>7</v>
      </c>
      <c r="B3" t="s">
        <v>6220</v>
      </c>
    </row>
    <row r="4" spans="1:7" x14ac:dyDescent="0.35">
      <c r="A4" t="s">
        <v>28</v>
      </c>
      <c r="B4" s="7">
        <v>2798.5050000000001</v>
      </c>
    </row>
    <row r="5" spans="1:7" x14ac:dyDescent="0.35">
      <c r="A5" t="s">
        <v>318</v>
      </c>
      <c r="B5" s="7">
        <v>6696.8649999999989</v>
      </c>
    </row>
    <row r="6" spans="1:7" x14ac:dyDescent="0.35">
      <c r="A6" t="s">
        <v>19</v>
      </c>
      <c r="B6" s="7">
        <v>35638.88499999998</v>
      </c>
    </row>
    <row r="13" spans="1:7" x14ac:dyDescent="0.35">
      <c r="G13" t="s">
        <v>6221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3FB5-3608-4EB6-901C-2F53263299CC}">
  <dimension ref="A3:G13"/>
  <sheetViews>
    <sheetView workbookViewId="0">
      <selection activeCell="Q10" sqref="Q10"/>
    </sheetView>
  </sheetViews>
  <sheetFormatPr defaultRowHeight="14.5" x14ac:dyDescent="0.35"/>
  <cols>
    <col min="1" max="1" width="17" bestFit="1" customWidth="1"/>
    <col min="2" max="3" width="11.54296875" bestFit="1" customWidth="1"/>
    <col min="4" max="4" width="8.1796875" bestFit="1" customWidth="1"/>
    <col min="5" max="5" width="7.453125" bestFit="1" customWidth="1"/>
    <col min="6" max="6" width="7.7265625" bestFit="1" customWidth="1"/>
  </cols>
  <sheetData>
    <row r="3" spans="1:7" x14ac:dyDescent="0.35">
      <c r="A3" s="5" t="s">
        <v>4</v>
      </c>
      <c r="B3" t="s">
        <v>6220</v>
      </c>
    </row>
    <row r="4" spans="1:7" x14ac:dyDescent="0.35">
      <c r="A4" t="s">
        <v>3753</v>
      </c>
      <c r="B4" s="7">
        <v>278.01</v>
      </c>
    </row>
    <row r="5" spans="1:7" x14ac:dyDescent="0.35">
      <c r="A5" t="s">
        <v>1598</v>
      </c>
      <c r="B5" s="7">
        <v>281.67499999999995</v>
      </c>
    </row>
    <row r="6" spans="1:7" x14ac:dyDescent="0.35">
      <c r="A6" t="s">
        <v>2587</v>
      </c>
      <c r="B6" s="7">
        <v>289.11</v>
      </c>
    </row>
    <row r="7" spans="1:7" x14ac:dyDescent="0.35">
      <c r="A7" t="s">
        <v>5765</v>
      </c>
      <c r="B7" s="7">
        <v>307.04499999999996</v>
      </c>
    </row>
    <row r="8" spans="1:7" x14ac:dyDescent="0.35">
      <c r="A8" t="s">
        <v>5114</v>
      </c>
      <c r="B8" s="7">
        <v>317.06999999999994</v>
      </c>
    </row>
    <row r="13" spans="1:7" x14ac:dyDescent="0.35">
      <c r="G13" t="s">
        <v>6221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B49F-CBFD-4DDD-A480-66760406D911}">
  <dimension ref="A3:F53"/>
  <sheetViews>
    <sheetView topLeftCell="B1" workbookViewId="0">
      <selection activeCell="O27" sqref="O27"/>
    </sheetView>
  </sheetViews>
  <sheetFormatPr defaultRowHeight="14.5" x14ac:dyDescent="0.35"/>
  <cols>
    <col min="1" max="1" width="12.6328125" bestFit="1" customWidth="1"/>
    <col min="2" max="2" width="15.6328125" bestFit="1" customWidth="1"/>
    <col min="3" max="3" width="8.1796875" bestFit="1" customWidth="1"/>
    <col min="4" max="4" width="7.453125" bestFit="1" customWidth="1"/>
    <col min="5" max="5" width="7.7265625" bestFit="1" customWidth="1"/>
    <col min="6" max="6" width="10.7265625" bestFit="1" customWidth="1"/>
  </cols>
  <sheetData>
    <row r="3" spans="1:6" x14ac:dyDescent="0.35">
      <c r="A3" s="5" t="s">
        <v>6220</v>
      </c>
      <c r="B3" s="5" t="s">
        <v>6224</v>
      </c>
    </row>
    <row r="4" spans="1:6" x14ac:dyDescent="0.35">
      <c r="A4" s="5" t="s">
        <v>6222</v>
      </c>
      <c r="B4" t="s">
        <v>6216</v>
      </c>
      <c r="C4" t="s">
        <v>6217</v>
      </c>
      <c r="D4" t="s">
        <v>6218</v>
      </c>
      <c r="E4" t="s">
        <v>6219</v>
      </c>
      <c r="F4" t="s">
        <v>6223</v>
      </c>
    </row>
    <row r="5" spans="1:6" x14ac:dyDescent="0.35">
      <c r="A5" s="8" t="s">
        <v>6198</v>
      </c>
      <c r="B5" s="10">
        <v>2926.63</v>
      </c>
      <c r="C5" s="10">
        <v>3481.4599999999996</v>
      </c>
      <c r="D5" s="10">
        <v>3378.0049999999997</v>
      </c>
      <c r="E5" s="10">
        <v>2401.0700000000002</v>
      </c>
      <c r="F5" s="10">
        <v>12187.164999999999</v>
      </c>
    </row>
    <row r="6" spans="1:6" x14ac:dyDescent="0.35">
      <c r="A6" s="9" t="s">
        <v>6202</v>
      </c>
      <c r="B6" s="10">
        <v>186.85499999999999</v>
      </c>
      <c r="C6" s="10">
        <v>305.97000000000003</v>
      </c>
      <c r="D6" s="10">
        <v>213.15999999999997</v>
      </c>
      <c r="E6" s="10">
        <v>123</v>
      </c>
      <c r="F6" s="10">
        <v>828.98500000000001</v>
      </c>
    </row>
    <row r="7" spans="1:6" x14ac:dyDescent="0.35">
      <c r="A7" s="9" t="s">
        <v>6203</v>
      </c>
      <c r="B7" s="10">
        <v>251.96499999999997</v>
      </c>
      <c r="C7" s="10">
        <v>129.46</v>
      </c>
      <c r="D7" s="10">
        <v>434.03999999999996</v>
      </c>
      <c r="E7" s="10">
        <v>171.93999999999997</v>
      </c>
      <c r="F7" s="10">
        <v>987.40499999999986</v>
      </c>
    </row>
    <row r="8" spans="1:6" x14ac:dyDescent="0.35">
      <c r="A8" s="9" t="s">
        <v>6204</v>
      </c>
      <c r="B8" s="10">
        <v>224.94499999999999</v>
      </c>
      <c r="C8" s="10">
        <v>349.12</v>
      </c>
      <c r="D8" s="10">
        <v>321.04000000000002</v>
      </c>
      <c r="E8" s="10">
        <v>126.035</v>
      </c>
      <c r="F8" s="10">
        <v>1021.14</v>
      </c>
    </row>
    <row r="9" spans="1:6" x14ac:dyDescent="0.35">
      <c r="A9" s="9" t="s">
        <v>6205</v>
      </c>
      <c r="B9" s="10">
        <v>307.12</v>
      </c>
      <c r="C9" s="10">
        <v>681.07499999999993</v>
      </c>
      <c r="D9" s="10">
        <v>533.70499999999993</v>
      </c>
      <c r="E9" s="10">
        <v>158.85</v>
      </c>
      <c r="F9" s="10">
        <v>1680.7499999999998</v>
      </c>
    </row>
    <row r="10" spans="1:6" x14ac:dyDescent="0.35">
      <c r="A10" s="9" t="s">
        <v>6206</v>
      </c>
      <c r="B10" s="10">
        <v>53.664999999999992</v>
      </c>
      <c r="C10" s="10">
        <v>83.025000000000006</v>
      </c>
      <c r="D10" s="10">
        <v>193.83499999999998</v>
      </c>
      <c r="E10" s="10">
        <v>68.039999999999992</v>
      </c>
      <c r="F10" s="10">
        <v>398.56499999999994</v>
      </c>
    </row>
    <row r="11" spans="1:6" x14ac:dyDescent="0.35">
      <c r="A11" s="9" t="s">
        <v>6207</v>
      </c>
      <c r="B11" s="10">
        <v>163.01999999999998</v>
      </c>
      <c r="C11" s="10">
        <v>678.3599999999999</v>
      </c>
      <c r="D11" s="10">
        <v>171.04500000000002</v>
      </c>
      <c r="E11" s="10">
        <v>372.255</v>
      </c>
      <c r="F11" s="10">
        <v>1384.6799999999998</v>
      </c>
    </row>
    <row r="12" spans="1:6" x14ac:dyDescent="0.35">
      <c r="A12" s="9" t="s">
        <v>6208</v>
      </c>
      <c r="B12" s="10">
        <v>345.02</v>
      </c>
      <c r="C12" s="10">
        <v>273.86999999999995</v>
      </c>
      <c r="D12" s="10">
        <v>184.12999999999997</v>
      </c>
      <c r="E12" s="10">
        <v>201.11499999999998</v>
      </c>
      <c r="F12" s="10">
        <v>1004.1349999999999</v>
      </c>
    </row>
    <row r="13" spans="1:6" x14ac:dyDescent="0.35">
      <c r="A13" s="9" t="s">
        <v>6209</v>
      </c>
      <c r="B13" s="10">
        <v>334.89</v>
      </c>
      <c r="C13" s="10">
        <v>70.95</v>
      </c>
      <c r="D13" s="10">
        <v>134.23000000000002</v>
      </c>
      <c r="E13" s="10">
        <v>166.27499999999998</v>
      </c>
      <c r="F13" s="10">
        <v>706.34499999999991</v>
      </c>
    </row>
    <row r="14" spans="1:6" x14ac:dyDescent="0.35">
      <c r="A14" s="9" t="s">
        <v>6210</v>
      </c>
      <c r="B14" s="10">
        <v>178.70999999999998</v>
      </c>
      <c r="C14" s="10">
        <v>166.1</v>
      </c>
      <c r="D14" s="10">
        <v>439.30999999999995</v>
      </c>
      <c r="E14" s="10">
        <v>492.9</v>
      </c>
      <c r="F14" s="10">
        <v>1277.02</v>
      </c>
    </row>
    <row r="15" spans="1:6" x14ac:dyDescent="0.35">
      <c r="A15" s="9" t="s">
        <v>6211</v>
      </c>
      <c r="B15" s="10">
        <v>301.98500000000001</v>
      </c>
      <c r="C15" s="10">
        <v>153.76499999999999</v>
      </c>
      <c r="D15" s="10">
        <v>215.55499999999998</v>
      </c>
      <c r="E15" s="10">
        <v>213.66499999999999</v>
      </c>
      <c r="F15" s="10">
        <v>884.96999999999991</v>
      </c>
    </row>
    <row r="16" spans="1:6" x14ac:dyDescent="0.35">
      <c r="A16" s="9" t="s">
        <v>6212</v>
      </c>
      <c r="B16" s="10">
        <v>312.83499999999998</v>
      </c>
      <c r="C16" s="10">
        <v>63.249999999999993</v>
      </c>
      <c r="D16" s="10">
        <v>350.89500000000004</v>
      </c>
      <c r="E16" s="10">
        <v>96.405000000000001</v>
      </c>
      <c r="F16" s="10">
        <v>823.38499999999999</v>
      </c>
    </row>
    <row r="17" spans="1:6" x14ac:dyDescent="0.35">
      <c r="A17" s="9" t="s">
        <v>6213</v>
      </c>
      <c r="B17" s="10">
        <v>265.62</v>
      </c>
      <c r="C17" s="10">
        <v>526.51499999999987</v>
      </c>
      <c r="D17" s="10">
        <v>187.06</v>
      </c>
      <c r="E17" s="10">
        <v>210.58999999999997</v>
      </c>
      <c r="F17" s="10">
        <v>1189.7849999999999</v>
      </c>
    </row>
    <row r="18" spans="1:6" x14ac:dyDescent="0.35">
      <c r="A18" s="8" t="s">
        <v>6199</v>
      </c>
      <c r="B18" s="10">
        <v>3356.415</v>
      </c>
      <c r="C18" s="10">
        <v>3663.41</v>
      </c>
      <c r="D18" s="10">
        <v>2604.4550000000004</v>
      </c>
      <c r="E18" s="10">
        <v>2493.2649999999999</v>
      </c>
      <c r="F18" s="10">
        <v>12117.544999999998</v>
      </c>
    </row>
    <row r="19" spans="1:6" x14ac:dyDescent="0.35">
      <c r="A19" s="9" t="s">
        <v>6202</v>
      </c>
      <c r="B19" s="10">
        <v>47.25</v>
      </c>
      <c r="C19" s="10">
        <v>65.805000000000007</v>
      </c>
      <c r="D19" s="10">
        <v>274.67500000000001</v>
      </c>
      <c r="E19" s="10">
        <v>179.22</v>
      </c>
      <c r="F19" s="10">
        <v>566.95000000000005</v>
      </c>
    </row>
    <row r="20" spans="1:6" x14ac:dyDescent="0.35">
      <c r="A20" s="9" t="s">
        <v>6203</v>
      </c>
      <c r="B20" s="10">
        <v>745.44999999999993</v>
      </c>
      <c r="C20" s="10">
        <v>428.88499999999999</v>
      </c>
      <c r="D20" s="10">
        <v>194.17499999999998</v>
      </c>
      <c r="E20" s="10">
        <v>429.82999999999993</v>
      </c>
      <c r="F20" s="10">
        <v>1798.34</v>
      </c>
    </row>
    <row r="21" spans="1:6" x14ac:dyDescent="0.35">
      <c r="A21" s="9" t="s">
        <v>6204</v>
      </c>
      <c r="B21" s="10">
        <v>130.47</v>
      </c>
      <c r="C21" s="10">
        <v>271.48500000000001</v>
      </c>
      <c r="D21" s="10">
        <v>281.20499999999998</v>
      </c>
      <c r="E21" s="10">
        <v>231.63000000000002</v>
      </c>
      <c r="F21" s="10">
        <v>914.79000000000008</v>
      </c>
    </row>
    <row r="22" spans="1:6" x14ac:dyDescent="0.35">
      <c r="A22" s="9" t="s">
        <v>6205</v>
      </c>
      <c r="B22" s="10">
        <v>27</v>
      </c>
      <c r="C22" s="10">
        <v>347.26</v>
      </c>
      <c r="D22" s="10">
        <v>147.51</v>
      </c>
      <c r="E22" s="10">
        <v>240.04</v>
      </c>
      <c r="F22" s="10">
        <v>761.81</v>
      </c>
    </row>
    <row r="23" spans="1:6" x14ac:dyDescent="0.35">
      <c r="A23" s="9" t="s">
        <v>6206</v>
      </c>
      <c r="B23" s="10">
        <v>255.11499999999995</v>
      </c>
      <c r="C23" s="10">
        <v>541.73</v>
      </c>
      <c r="D23" s="10">
        <v>83.43</v>
      </c>
      <c r="E23" s="10">
        <v>59.079999999999991</v>
      </c>
      <c r="F23" s="10">
        <v>939.35500000000013</v>
      </c>
    </row>
    <row r="24" spans="1:6" x14ac:dyDescent="0.35">
      <c r="A24" s="9" t="s">
        <v>6207</v>
      </c>
      <c r="B24" s="10">
        <v>584.78999999999985</v>
      </c>
      <c r="C24" s="10">
        <v>357.42999999999995</v>
      </c>
      <c r="D24" s="10">
        <v>355.34</v>
      </c>
      <c r="E24" s="10">
        <v>140.88</v>
      </c>
      <c r="F24" s="10">
        <v>1438.4399999999996</v>
      </c>
    </row>
    <row r="25" spans="1:6" x14ac:dyDescent="0.35">
      <c r="A25" s="9" t="s">
        <v>6208</v>
      </c>
      <c r="B25" s="10">
        <v>430.62</v>
      </c>
      <c r="C25" s="10">
        <v>227.42500000000001</v>
      </c>
      <c r="D25" s="10">
        <v>236.315</v>
      </c>
      <c r="E25" s="10">
        <v>414.58499999999992</v>
      </c>
      <c r="F25" s="10">
        <v>1308.9450000000002</v>
      </c>
    </row>
    <row r="26" spans="1:6" x14ac:dyDescent="0.35">
      <c r="A26" s="9" t="s">
        <v>6209</v>
      </c>
      <c r="B26" s="10">
        <v>22.5</v>
      </c>
      <c r="C26" s="10">
        <v>77.72</v>
      </c>
      <c r="D26" s="10">
        <v>60.5</v>
      </c>
      <c r="E26" s="10">
        <v>139.67999999999998</v>
      </c>
      <c r="F26" s="10">
        <v>300.39999999999998</v>
      </c>
    </row>
    <row r="27" spans="1:6" x14ac:dyDescent="0.35">
      <c r="A27" s="9" t="s">
        <v>6210</v>
      </c>
      <c r="B27" s="10">
        <v>126.14999999999999</v>
      </c>
      <c r="C27" s="10">
        <v>195.11</v>
      </c>
      <c r="D27" s="10">
        <v>89.13</v>
      </c>
      <c r="E27" s="10">
        <v>302.65999999999997</v>
      </c>
      <c r="F27" s="10">
        <v>713.05</v>
      </c>
    </row>
    <row r="28" spans="1:6" x14ac:dyDescent="0.35">
      <c r="A28" s="9" t="s">
        <v>6211</v>
      </c>
      <c r="B28" s="10">
        <v>376.03</v>
      </c>
      <c r="C28" s="10">
        <v>523.24</v>
      </c>
      <c r="D28" s="10">
        <v>440.96499999999997</v>
      </c>
      <c r="E28" s="10">
        <v>174.46999999999997</v>
      </c>
      <c r="F28" s="10">
        <v>1514.7049999999999</v>
      </c>
    </row>
    <row r="29" spans="1:6" x14ac:dyDescent="0.35">
      <c r="A29" s="9" t="s">
        <v>6212</v>
      </c>
      <c r="B29" s="10">
        <v>515.17999999999995</v>
      </c>
      <c r="C29" s="10">
        <v>142.56</v>
      </c>
      <c r="D29" s="10">
        <v>347.03999999999996</v>
      </c>
      <c r="E29" s="10">
        <v>104.08499999999999</v>
      </c>
      <c r="F29" s="10">
        <v>1108.865</v>
      </c>
    </row>
    <row r="30" spans="1:6" x14ac:dyDescent="0.35">
      <c r="A30" s="9" t="s">
        <v>6213</v>
      </c>
      <c r="B30" s="10">
        <v>95.859999999999985</v>
      </c>
      <c r="C30" s="10">
        <v>484.76</v>
      </c>
      <c r="D30" s="10">
        <v>94.17</v>
      </c>
      <c r="E30" s="10">
        <v>77.10499999999999</v>
      </c>
      <c r="F30" s="10">
        <v>751.89499999999998</v>
      </c>
    </row>
    <row r="31" spans="1:6" x14ac:dyDescent="0.35">
      <c r="A31" s="8" t="s">
        <v>6200</v>
      </c>
      <c r="B31" s="10">
        <v>4045.63</v>
      </c>
      <c r="C31" s="10">
        <v>3469.64</v>
      </c>
      <c r="D31" s="10">
        <v>3836.6949999999997</v>
      </c>
      <c r="E31" s="10">
        <v>2414.145</v>
      </c>
      <c r="F31" s="10">
        <v>13766.109999999999</v>
      </c>
    </row>
    <row r="32" spans="1:6" x14ac:dyDescent="0.35">
      <c r="A32" s="9" t="s">
        <v>6202</v>
      </c>
      <c r="B32" s="10">
        <v>258.34500000000003</v>
      </c>
      <c r="C32" s="10">
        <v>139.625</v>
      </c>
      <c r="D32" s="10">
        <v>279.52000000000004</v>
      </c>
      <c r="E32" s="10">
        <v>160.19499999999999</v>
      </c>
      <c r="F32" s="10">
        <v>837.68499999999995</v>
      </c>
    </row>
    <row r="33" spans="1:6" x14ac:dyDescent="0.35">
      <c r="A33" s="9" t="s">
        <v>6203</v>
      </c>
      <c r="B33" s="10">
        <v>342.2</v>
      </c>
      <c r="C33" s="10">
        <v>284.24999999999994</v>
      </c>
      <c r="D33" s="10">
        <v>251.83</v>
      </c>
      <c r="E33" s="10">
        <v>80.550000000000011</v>
      </c>
      <c r="F33" s="10">
        <v>958.82999999999993</v>
      </c>
    </row>
    <row r="34" spans="1:6" x14ac:dyDescent="0.35">
      <c r="A34" s="9" t="s">
        <v>6204</v>
      </c>
      <c r="B34" s="10">
        <v>418.30499999999989</v>
      </c>
      <c r="C34" s="10">
        <v>468.125</v>
      </c>
      <c r="D34" s="10">
        <v>405.05500000000006</v>
      </c>
      <c r="E34" s="10">
        <v>253.15499999999997</v>
      </c>
      <c r="F34" s="10">
        <v>1544.6399999999999</v>
      </c>
    </row>
    <row r="35" spans="1:6" x14ac:dyDescent="0.35">
      <c r="A35" s="9" t="s">
        <v>6205</v>
      </c>
      <c r="B35" s="10">
        <v>102.32999999999998</v>
      </c>
      <c r="C35" s="10">
        <v>242.14000000000001</v>
      </c>
      <c r="D35" s="10">
        <v>554.875</v>
      </c>
      <c r="E35" s="10">
        <v>106.23999999999998</v>
      </c>
      <c r="F35" s="10">
        <v>1005.585</v>
      </c>
    </row>
    <row r="36" spans="1:6" x14ac:dyDescent="0.35">
      <c r="A36" s="9" t="s">
        <v>6206</v>
      </c>
      <c r="B36" s="10">
        <v>234.71999999999997</v>
      </c>
      <c r="C36" s="10">
        <v>133.08000000000001</v>
      </c>
      <c r="D36" s="10">
        <v>267.2</v>
      </c>
      <c r="E36" s="10">
        <v>272.68999999999994</v>
      </c>
      <c r="F36" s="10">
        <v>907.68999999999994</v>
      </c>
    </row>
    <row r="37" spans="1:6" x14ac:dyDescent="0.35">
      <c r="A37" s="9" t="s">
        <v>6207</v>
      </c>
      <c r="B37" s="10">
        <v>430.39</v>
      </c>
      <c r="C37" s="10">
        <v>136.20500000000001</v>
      </c>
      <c r="D37" s="10">
        <v>209.6</v>
      </c>
      <c r="E37" s="10">
        <v>88.334999999999994</v>
      </c>
      <c r="F37" s="10">
        <v>864.53000000000009</v>
      </c>
    </row>
    <row r="38" spans="1:6" x14ac:dyDescent="0.35">
      <c r="A38" s="9" t="s">
        <v>6208</v>
      </c>
      <c r="B38" s="10">
        <v>109.005</v>
      </c>
      <c r="C38" s="10">
        <v>393.57499999999999</v>
      </c>
      <c r="D38" s="10">
        <v>61.034999999999997</v>
      </c>
      <c r="E38" s="10">
        <v>199.48999999999998</v>
      </c>
      <c r="F38" s="10">
        <v>763.10500000000002</v>
      </c>
    </row>
    <row r="39" spans="1:6" x14ac:dyDescent="0.35">
      <c r="A39" s="9" t="s">
        <v>6209</v>
      </c>
      <c r="B39" s="10">
        <v>287.52499999999998</v>
      </c>
      <c r="C39" s="10">
        <v>288.67</v>
      </c>
      <c r="D39" s="10">
        <v>125.58</v>
      </c>
      <c r="E39" s="10">
        <v>374.13499999999999</v>
      </c>
      <c r="F39" s="10">
        <v>1075.9099999999999</v>
      </c>
    </row>
    <row r="40" spans="1:6" x14ac:dyDescent="0.35">
      <c r="A40" s="9" t="s">
        <v>6210</v>
      </c>
      <c r="B40" s="10">
        <v>840.92999999999984</v>
      </c>
      <c r="C40" s="10">
        <v>409.875</v>
      </c>
      <c r="D40" s="10">
        <v>171.32999999999998</v>
      </c>
      <c r="E40" s="10">
        <v>221.43999999999997</v>
      </c>
      <c r="F40" s="10">
        <v>1643.5749999999998</v>
      </c>
    </row>
    <row r="41" spans="1:6" x14ac:dyDescent="0.35">
      <c r="A41" s="9" t="s">
        <v>6211</v>
      </c>
      <c r="B41" s="10">
        <v>299.07</v>
      </c>
      <c r="C41" s="10">
        <v>260.32499999999999</v>
      </c>
      <c r="D41" s="10">
        <v>584.64</v>
      </c>
      <c r="E41" s="10">
        <v>256.36500000000001</v>
      </c>
      <c r="F41" s="10">
        <v>1400.3999999999999</v>
      </c>
    </row>
    <row r="42" spans="1:6" x14ac:dyDescent="0.35">
      <c r="A42" s="9" t="s">
        <v>6212</v>
      </c>
      <c r="B42" s="10">
        <v>323.32499999999999</v>
      </c>
      <c r="C42" s="10">
        <v>565.57000000000005</v>
      </c>
      <c r="D42" s="10">
        <v>537.80999999999995</v>
      </c>
      <c r="E42" s="10">
        <v>189.47499999999999</v>
      </c>
      <c r="F42" s="10">
        <v>1616.1799999999998</v>
      </c>
    </row>
    <row r="43" spans="1:6" x14ac:dyDescent="0.35">
      <c r="A43" s="9" t="s">
        <v>6213</v>
      </c>
      <c r="B43" s="10">
        <v>399.48499999999996</v>
      </c>
      <c r="C43" s="10">
        <v>148.19999999999999</v>
      </c>
      <c r="D43" s="10">
        <v>388.21999999999997</v>
      </c>
      <c r="E43" s="10">
        <v>212.07499999999999</v>
      </c>
      <c r="F43" s="10">
        <v>1147.98</v>
      </c>
    </row>
    <row r="44" spans="1:6" x14ac:dyDescent="0.35">
      <c r="A44" s="8" t="s">
        <v>6201</v>
      </c>
      <c r="B44" s="10">
        <v>1439.82</v>
      </c>
      <c r="C44" s="10">
        <v>1691.9299999999998</v>
      </c>
      <c r="D44" s="10">
        <v>2234.9199999999996</v>
      </c>
      <c r="E44" s="10">
        <v>1696.7649999999999</v>
      </c>
      <c r="F44" s="10">
        <v>7063.4349999999986</v>
      </c>
    </row>
    <row r="45" spans="1:6" x14ac:dyDescent="0.35">
      <c r="A45" s="9" t="s">
        <v>6202</v>
      </c>
      <c r="B45" s="10">
        <v>112.69499999999999</v>
      </c>
      <c r="C45" s="10">
        <v>166.32</v>
      </c>
      <c r="D45" s="10">
        <v>843.71499999999992</v>
      </c>
      <c r="E45" s="10">
        <v>146.685</v>
      </c>
      <c r="F45" s="10">
        <v>1269.415</v>
      </c>
    </row>
    <row r="46" spans="1:6" x14ac:dyDescent="0.35">
      <c r="A46" s="9" t="s">
        <v>6203</v>
      </c>
      <c r="B46" s="10">
        <v>114.87999999999998</v>
      </c>
      <c r="C46" s="10">
        <v>133.815</v>
      </c>
      <c r="D46" s="10">
        <v>91.175000000000011</v>
      </c>
      <c r="E46" s="10">
        <v>53.759999999999991</v>
      </c>
      <c r="F46" s="10">
        <v>393.63</v>
      </c>
    </row>
    <row r="47" spans="1:6" x14ac:dyDescent="0.35">
      <c r="A47" s="9" t="s">
        <v>6204</v>
      </c>
      <c r="B47" s="10">
        <v>277.76</v>
      </c>
      <c r="C47" s="10">
        <v>175.41</v>
      </c>
      <c r="D47" s="10">
        <v>462.50999999999993</v>
      </c>
      <c r="E47" s="10">
        <v>399.52499999999998</v>
      </c>
      <c r="F47" s="10">
        <v>1315.2049999999999</v>
      </c>
    </row>
    <row r="48" spans="1:6" x14ac:dyDescent="0.35">
      <c r="A48" s="9" t="s">
        <v>6205</v>
      </c>
      <c r="B48" s="10">
        <v>197.89499999999998</v>
      </c>
      <c r="C48" s="10">
        <v>289.755</v>
      </c>
      <c r="D48" s="10">
        <v>88.545000000000002</v>
      </c>
      <c r="E48" s="10">
        <v>200.25499999999997</v>
      </c>
      <c r="F48" s="10">
        <v>776.44999999999993</v>
      </c>
    </row>
    <row r="49" spans="1:6" x14ac:dyDescent="0.35">
      <c r="A49" s="9" t="s">
        <v>6206</v>
      </c>
      <c r="B49" s="10">
        <v>193.11499999999998</v>
      </c>
      <c r="C49" s="10">
        <v>212.49499999999998</v>
      </c>
      <c r="D49" s="10">
        <v>292.29000000000002</v>
      </c>
      <c r="E49" s="10">
        <v>304.46999999999997</v>
      </c>
      <c r="F49" s="10">
        <v>1002.3699999999999</v>
      </c>
    </row>
    <row r="50" spans="1:6" x14ac:dyDescent="0.35">
      <c r="A50" s="9" t="s">
        <v>6207</v>
      </c>
      <c r="B50" s="10">
        <v>179.79</v>
      </c>
      <c r="C50" s="10">
        <v>426.2</v>
      </c>
      <c r="D50" s="10">
        <v>170.08999999999997</v>
      </c>
      <c r="E50" s="10">
        <v>379.31</v>
      </c>
      <c r="F50" s="10">
        <v>1155.3899999999999</v>
      </c>
    </row>
    <row r="51" spans="1:6" x14ac:dyDescent="0.35">
      <c r="A51" s="9" t="s">
        <v>6208</v>
      </c>
      <c r="B51" s="10">
        <v>247.28999999999996</v>
      </c>
      <c r="C51" s="10">
        <v>246.685</v>
      </c>
      <c r="D51" s="10">
        <v>271.05499999999995</v>
      </c>
      <c r="E51" s="10">
        <v>141.69999999999999</v>
      </c>
      <c r="F51" s="10">
        <v>906.73</v>
      </c>
    </row>
    <row r="52" spans="1:6" x14ac:dyDescent="0.35">
      <c r="A52" s="9" t="s">
        <v>6209</v>
      </c>
      <c r="B52" s="10">
        <v>116.39499999999998</v>
      </c>
      <c r="C52" s="10">
        <v>41.25</v>
      </c>
      <c r="D52" s="10">
        <v>15.54</v>
      </c>
      <c r="E52" s="10">
        <v>71.06</v>
      </c>
      <c r="F52" s="10">
        <v>244.24499999999998</v>
      </c>
    </row>
    <row r="53" spans="1:6" x14ac:dyDescent="0.35">
      <c r="A53" s="8" t="s">
        <v>6223</v>
      </c>
      <c r="B53" s="10">
        <v>11768.495000000003</v>
      </c>
      <c r="C53" s="10">
        <v>12306.440000000002</v>
      </c>
      <c r="D53" s="10">
        <v>12054.075000000003</v>
      </c>
      <c r="E53" s="10">
        <v>9005.244999999999</v>
      </c>
      <c r="F53" s="10">
        <v>45134.255000000005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30253-BD9C-4398-B4A2-369BDA0020CA}">
  <dimension ref="A3:B8"/>
  <sheetViews>
    <sheetView workbookViewId="0">
      <selection activeCell="E1" sqref="E1:E1048576"/>
    </sheetView>
  </sheetViews>
  <sheetFormatPr defaultRowHeight="14.5" x14ac:dyDescent="0.35"/>
  <cols>
    <col min="1" max="1" width="12.6328125" bestFit="1" customWidth="1"/>
    <col min="2" max="2" width="11.54296875" bestFit="1" customWidth="1"/>
    <col min="3" max="3" width="8.81640625" bestFit="1" customWidth="1"/>
    <col min="4" max="4" width="9.81640625" bestFit="1" customWidth="1"/>
    <col min="5" max="5" width="8.81640625" bestFit="1" customWidth="1"/>
    <col min="6" max="6" width="10.7265625" bestFit="1" customWidth="1"/>
  </cols>
  <sheetData>
    <row r="3" spans="1:2" x14ac:dyDescent="0.35">
      <c r="A3" s="5" t="s">
        <v>6222</v>
      </c>
      <c r="B3" t="s">
        <v>6220</v>
      </c>
    </row>
    <row r="4" spans="1:2" x14ac:dyDescent="0.35">
      <c r="A4" s="8" t="s">
        <v>6219</v>
      </c>
      <c r="B4" s="10">
        <v>9005.2450000000099</v>
      </c>
    </row>
    <row r="5" spans="1:2" x14ac:dyDescent="0.35">
      <c r="A5" s="8" t="s">
        <v>6216</v>
      </c>
      <c r="B5" s="10">
        <v>11768.494999999997</v>
      </c>
    </row>
    <row r="6" spans="1:2" x14ac:dyDescent="0.35">
      <c r="A6" s="8" t="s">
        <v>6218</v>
      </c>
      <c r="B6" s="10">
        <v>12054.074999999995</v>
      </c>
    </row>
    <row r="7" spans="1:2" x14ac:dyDescent="0.35">
      <c r="A7" s="8" t="s">
        <v>6217</v>
      </c>
      <c r="B7" s="10">
        <v>12306.439999999995</v>
      </c>
    </row>
    <row r="8" spans="1:2" x14ac:dyDescent="0.35">
      <c r="A8" s="8" t="s">
        <v>6223</v>
      </c>
      <c r="B8" s="10">
        <v>45134.254999999997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830A-63EB-405F-B04C-C68A69340780}">
  <dimension ref="A1:B5"/>
  <sheetViews>
    <sheetView workbookViewId="0">
      <selection activeCell="T15" sqref="T15"/>
    </sheetView>
  </sheetViews>
  <sheetFormatPr defaultRowHeight="14.5" x14ac:dyDescent="0.35"/>
  <cols>
    <col min="2" max="2" width="12.81640625" customWidth="1"/>
  </cols>
  <sheetData>
    <row r="1" spans="1:2" x14ac:dyDescent="0.35">
      <c r="A1" t="s">
        <v>7</v>
      </c>
      <c r="B1" t="s">
        <v>6220</v>
      </c>
    </row>
    <row r="2" spans="1:2" x14ac:dyDescent="0.35">
      <c r="A2" t="s">
        <v>318</v>
      </c>
      <c r="B2" s="10">
        <v>6696.8649999999989</v>
      </c>
    </row>
    <row r="3" spans="1:2" x14ac:dyDescent="0.35">
      <c r="A3" t="s">
        <v>28</v>
      </c>
      <c r="B3" s="10">
        <v>2798.5050000000001</v>
      </c>
    </row>
    <row r="4" spans="1:2" x14ac:dyDescent="0.35">
      <c r="A4" t="s">
        <v>19</v>
      </c>
      <c r="B4" s="10">
        <v>35638.88499999998</v>
      </c>
    </row>
    <row r="5" spans="1:2" x14ac:dyDescent="0.35">
      <c r="B5" s="1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7603E-3E28-4CDE-A569-C2AD29A8D843}">
  <dimension ref="A3:B7"/>
  <sheetViews>
    <sheetView workbookViewId="0">
      <selection activeCell="A3" sqref="A3"/>
    </sheetView>
  </sheetViews>
  <sheetFormatPr defaultRowHeight="14.5" x14ac:dyDescent="0.35"/>
  <cols>
    <col min="1" max="1" width="14.7265625" bestFit="1" customWidth="1"/>
    <col min="2" max="2" width="11.54296875" bestFit="1" customWidth="1"/>
    <col min="3" max="3" width="8.81640625" bestFit="1" customWidth="1"/>
    <col min="4" max="4" width="9.81640625" bestFit="1" customWidth="1"/>
    <col min="5" max="5" width="8.81640625" bestFit="1" customWidth="1"/>
    <col min="6" max="6" width="10.7265625" bestFit="1" customWidth="1"/>
  </cols>
  <sheetData>
    <row r="3" spans="1:2" x14ac:dyDescent="0.35">
      <c r="A3" s="5" t="s">
        <v>6222</v>
      </c>
      <c r="B3" t="s">
        <v>6220</v>
      </c>
    </row>
    <row r="4" spans="1:2" x14ac:dyDescent="0.35">
      <c r="A4" s="8" t="s">
        <v>28</v>
      </c>
      <c r="B4" s="10">
        <v>2798.5050000000001</v>
      </c>
    </row>
    <row r="5" spans="1:2" x14ac:dyDescent="0.35">
      <c r="A5" s="8" t="s">
        <v>318</v>
      </c>
      <c r="B5" s="10">
        <v>6696.8649999999989</v>
      </c>
    </row>
    <row r="6" spans="1:2" x14ac:dyDescent="0.35">
      <c r="A6" s="8" t="s">
        <v>19</v>
      </c>
      <c r="B6" s="10">
        <v>35638.88499999998</v>
      </c>
    </row>
    <row r="7" spans="1:2" x14ac:dyDescent="0.35">
      <c r="A7" s="8" t="s">
        <v>6223</v>
      </c>
      <c r="B7" s="10">
        <v>45134.254999999976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B8344-5FDC-4747-BA93-D134E29D83B7}">
  <dimension ref="A3:B6"/>
  <sheetViews>
    <sheetView workbookViewId="0">
      <selection activeCell="A4" sqref="A4"/>
    </sheetView>
  </sheetViews>
  <sheetFormatPr defaultRowHeight="14.5" x14ac:dyDescent="0.35"/>
  <cols>
    <col min="1" max="1" width="12.6328125" bestFit="1" customWidth="1"/>
    <col min="2" max="2" width="11.54296875" bestFit="1" customWidth="1"/>
    <col min="3" max="3" width="8.81640625" bestFit="1" customWidth="1"/>
    <col min="4" max="4" width="9.81640625" bestFit="1" customWidth="1"/>
    <col min="5" max="5" width="8.81640625" bestFit="1" customWidth="1"/>
    <col min="6" max="6" width="10.7265625" bestFit="1" customWidth="1"/>
  </cols>
  <sheetData>
    <row r="3" spans="1:2" x14ac:dyDescent="0.35">
      <c r="A3" s="5" t="s">
        <v>6222</v>
      </c>
      <c r="B3" t="s">
        <v>6220</v>
      </c>
    </row>
    <row r="4" spans="1:2" x14ac:dyDescent="0.35">
      <c r="A4" s="8" t="s">
        <v>6191</v>
      </c>
      <c r="B4" s="10">
        <v>24216.404999999995</v>
      </c>
    </row>
    <row r="5" spans="1:2" x14ac:dyDescent="0.35">
      <c r="A5" s="8" t="s">
        <v>6190</v>
      </c>
      <c r="B5" s="10">
        <v>20917.849999999995</v>
      </c>
    </row>
    <row r="6" spans="1:2" x14ac:dyDescent="0.35">
      <c r="A6" s="8" t="s">
        <v>6223</v>
      </c>
      <c r="B6" s="10">
        <v>45134.25499999999</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5434-A4AE-4220-82ED-F07A08FBA0A0}">
  <dimension ref="A3:B9"/>
  <sheetViews>
    <sheetView workbookViewId="0">
      <selection activeCell="T23" sqref="T23"/>
    </sheetView>
  </sheetViews>
  <sheetFormatPr defaultRowHeight="14.5" x14ac:dyDescent="0.35"/>
  <cols>
    <col min="1" max="1" width="18.36328125" bestFit="1" customWidth="1"/>
    <col min="2" max="2" width="11.54296875" bestFit="1" customWidth="1"/>
    <col min="3" max="3" width="8.81640625" bestFit="1" customWidth="1"/>
    <col min="4" max="4" width="9.81640625" bestFit="1" customWidth="1"/>
    <col min="5" max="5" width="8.81640625" bestFit="1" customWidth="1"/>
    <col min="6" max="6" width="10.7265625" bestFit="1" customWidth="1"/>
  </cols>
  <sheetData>
    <row r="3" spans="1:2" x14ac:dyDescent="0.35">
      <c r="A3" s="5" t="s">
        <v>6222</v>
      </c>
      <c r="B3" t="s">
        <v>6220</v>
      </c>
    </row>
    <row r="4" spans="1:2" x14ac:dyDescent="0.35">
      <c r="A4" s="8" t="s">
        <v>6237</v>
      </c>
      <c r="B4" s="10">
        <v>2150.8449999999998</v>
      </c>
    </row>
    <row r="5" spans="1:2" x14ac:dyDescent="0.35">
      <c r="A5" s="8" t="s">
        <v>6236</v>
      </c>
      <c r="B5" s="10">
        <v>2442.3699999999994</v>
      </c>
    </row>
    <row r="6" spans="1:2" x14ac:dyDescent="0.35">
      <c r="A6" s="8" t="s">
        <v>6235</v>
      </c>
      <c r="B6" s="10">
        <v>2459.1599999999994</v>
      </c>
    </row>
    <row r="7" spans="1:2" x14ac:dyDescent="0.35">
      <c r="A7" s="8" t="s">
        <v>6234</v>
      </c>
      <c r="B7" s="10">
        <v>2509.8749999999995</v>
      </c>
    </row>
    <row r="8" spans="1:2" x14ac:dyDescent="0.35">
      <c r="A8" s="8" t="s">
        <v>6233</v>
      </c>
      <c r="B8" s="10">
        <v>2561.5099999999998</v>
      </c>
    </row>
    <row r="9" spans="1:2" x14ac:dyDescent="0.35">
      <c r="A9" s="8" t="s">
        <v>6223</v>
      </c>
      <c r="B9" s="10">
        <v>12123.759999999997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4D41F-A0BC-4A0C-9FF7-0F2FD2C60723}">
  <dimension ref="A3:C53"/>
  <sheetViews>
    <sheetView workbookViewId="0">
      <selection activeCell="J34" sqref="J34"/>
    </sheetView>
  </sheetViews>
  <sheetFormatPr defaultRowHeight="14.5" x14ac:dyDescent="0.35"/>
  <cols>
    <col min="1" max="1" width="12.6328125" bestFit="1" customWidth="1"/>
    <col min="2" max="2" width="15.6328125" bestFit="1" customWidth="1"/>
    <col min="3" max="3" width="10.7265625" bestFit="1" customWidth="1"/>
    <col min="4" max="4" width="7.453125" bestFit="1" customWidth="1"/>
    <col min="5" max="5" width="8.1796875" bestFit="1" customWidth="1"/>
    <col min="6" max="6" width="10.7265625" bestFit="1" customWidth="1"/>
  </cols>
  <sheetData>
    <row r="3" spans="1:3" x14ac:dyDescent="0.35">
      <c r="A3" s="5" t="s">
        <v>6220</v>
      </c>
      <c r="B3" s="5" t="s">
        <v>6224</v>
      </c>
    </row>
    <row r="4" spans="1:3" x14ac:dyDescent="0.35">
      <c r="A4" s="5" t="s">
        <v>6222</v>
      </c>
      <c r="B4" t="s">
        <v>6216</v>
      </c>
      <c r="C4" t="s">
        <v>6223</v>
      </c>
    </row>
    <row r="5" spans="1:3" x14ac:dyDescent="0.35">
      <c r="A5" s="8" t="s">
        <v>6198</v>
      </c>
      <c r="B5" s="10">
        <v>2926.63</v>
      </c>
      <c r="C5" s="10">
        <v>2926.63</v>
      </c>
    </row>
    <row r="6" spans="1:3" x14ac:dyDescent="0.35">
      <c r="A6" s="9" t="s">
        <v>6202</v>
      </c>
      <c r="B6" s="10">
        <v>186.85499999999999</v>
      </c>
      <c r="C6" s="10">
        <v>186.85499999999999</v>
      </c>
    </row>
    <row r="7" spans="1:3" x14ac:dyDescent="0.35">
      <c r="A7" s="9" t="s">
        <v>6203</v>
      </c>
      <c r="B7" s="10">
        <v>251.965</v>
      </c>
      <c r="C7" s="10">
        <v>251.965</v>
      </c>
    </row>
    <row r="8" spans="1:3" x14ac:dyDescent="0.35">
      <c r="A8" s="9" t="s">
        <v>6204</v>
      </c>
      <c r="B8" s="10">
        <v>224.94499999999999</v>
      </c>
      <c r="C8" s="10">
        <v>224.94499999999999</v>
      </c>
    </row>
    <row r="9" spans="1:3" x14ac:dyDescent="0.35">
      <c r="A9" s="9" t="s">
        <v>6205</v>
      </c>
      <c r="B9" s="10">
        <v>307.12</v>
      </c>
      <c r="C9" s="10">
        <v>307.12</v>
      </c>
    </row>
    <row r="10" spans="1:3" x14ac:dyDescent="0.35">
      <c r="A10" s="9" t="s">
        <v>6206</v>
      </c>
      <c r="B10" s="10">
        <v>53.664999999999992</v>
      </c>
      <c r="C10" s="10">
        <v>53.664999999999992</v>
      </c>
    </row>
    <row r="11" spans="1:3" x14ac:dyDescent="0.35">
      <c r="A11" s="9" t="s">
        <v>6207</v>
      </c>
      <c r="B11" s="10">
        <v>163.01999999999998</v>
      </c>
      <c r="C11" s="10">
        <v>163.01999999999998</v>
      </c>
    </row>
    <row r="12" spans="1:3" x14ac:dyDescent="0.35">
      <c r="A12" s="9" t="s">
        <v>6208</v>
      </c>
      <c r="B12" s="10">
        <v>345.02</v>
      </c>
      <c r="C12" s="10">
        <v>345.02</v>
      </c>
    </row>
    <row r="13" spans="1:3" x14ac:dyDescent="0.35">
      <c r="A13" s="9" t="s">
        <v>6209</v>
      </c>
      <c r="B13" s="10">
        <v>334.89000000000004</v>
      </c>
      <c r="C13" s="10">
        <v>334.89000000000004</v>
      </c>
    </row>
    <row r="14" spans="1:3" x14ac:dyDescent="0.35">
      <c r="A14" s="9" t="s">
        <v>6210</v>
      </c>
      <c r="B14" s="10">
        <v>178.70999999999998</v>
      </c>
      <c r="C14" s="10">
        <v>178.70999999999998</v>
      </c>
    </row>
    <row r="15" spans="1:3" x14ac:dyDescent="0.35">
      <c r="A15" s="9" t="s">
        <v>6211</v>
      </c>
      <c r="B15" s="10">
        <v>301.98499999999996</v>
      </c>
      <c r="C15" s="10">
        <v>301.98499999999996</v>
      </c>
    </row>
    <row r="16" spans="1:3" x14ac:dyDescent="0.35">
      <c r="A16" s="9" t="s">
        <v>6212</v>
      </c>
      <c r="B16" s="10">
        <v>312.83499999999998</v>
      </c>
      <c r="C16" s="10">
        <v>312.83499999999998</v>
      </c>
    </row>
    <row r="17" spans="1:3" x14ac:dyDescent="0.35">
      <c r="A17" s="9" t="s">
        <v>6213</v>
      </c>
      <c r="B17" s="10">
        <v>265.62</v>
      </c>
      <c r="C17" s="10">
        <v>265.62</v>
      </c>
    </row>
    <row r="18" spans="1:3" x14ac:dyDescent="0.35">
      <c r="A18" s="8" t="s">
        <v>6199</v>
      </c>
      <c r="B18" s="10">
        <v>3356.415</v>
      </c>
      <c r="C18" s="10">
        <v>3356.415</v>
      </c>
    </row>
    <row r="19" spans="1:3" x14ac:dyDescent="0.35">
      <c r="A19" s="9" t="s">
        <v>6202</v>
      </c>
      <c r="B19" s="10">
        <v>47.25</v>
      </c>
      <c r="C19" s="10">
        <v>47.25</v>
      </c>
    </row>
    <row r="20" spans="1:3" x14ac:dyDescent="0.35">
      <c r="A20" s="9" t="s">
        <v>6203</v>
      </c>
      <c r="B20" s="10">
        <v>745.45</v>
      </c>
      <c r="C20" s="10">
        <v>745.45</v>
      </c>
    </row>
    <row r="21" spans="1:3" x14ac:dyDescent="0.35">
      <c r="A21" s="9" t="s">
        <v>6204</v>
      </c>
      <c r="B21" s="10">
        <v>130.47</v>
      </c>
      <c r="C21" s="10">
        <v>130.47</v>
      </c>
    </row>
    <row r="22" spans="1:3" x14ac:dyDescent="0.35">
      <c r="A22" s="9" t="s">
        <v>6205</v>
      </c>
      <c r="B22" s="10">
        <v>27</v>
      </c>
      <c r="C22" s="10">
        <v>27</v>
      </c>
    </row>
    <row r="23" spans="1:3" x14ac:dyDescent="0.35">
      <c r="A23" s="9" t="s">
        <v>6206</v>
      </c>
      <c r="B23" s="10">
        <v>255.11499999999995</v>
      </c>
      <c r="C23" s="10">
        <v>255.11499999999995</v>
      </c>
    </row>
    <row r="24" spans="1:3" x14ac:dyDescent="0.35">
      <c r="A24" s="9" t="s">
        <v>6207</v>
      </c>
      <c r="B24" s="10">
        <v>584.79</v>
      </c>
      <c r="C24" s="10">
        <v>584.79</v>
      </c>
    </row>
    <row r="25" spans="1:3" x14ac:dyDescent="0.35">
      <c r="A25" s="9" t="s">
        <v>6208</v>
      </c>
      <c r="B25" s="10">
        <v>430.61999999999995</v>
      </c>
      <c r="C25" s="10">
        <v>430.61999999999995</v>
      </c>
    </row>
    <row r="26" spans="1:3" x14ac:dyDescent="0.35">
      <c r="A26" s="9" t="s">
        <v>6209</v>
      </c>
      <c r="B26" s="10">
        <v>22.5</v>
      </c>
      <c r="C26" s="10">
        <v>22.5</v>
      </c>
    </row>
    <row r="27" spans="1:3" x14ac:dyDescent="0.35">
      <c r="A27" s="9" t="s">
        <v>6210</v>
      </c>
      <c r="B27" s="10">
        <v>126.14999999999999</v>
      </c>
      <c r="C27" s="10">
        <v>126.14999999999999</v>
      </c>
    </row>
    <row r="28" spans="1:3" x14ac:dyDescent="0.35">
      <c r="A28" s="9" t="s">
        <v>6211</v>
      </c>
      <c r="B28" s="10">
        <v>376.03</v>
      </c>
      <c r="C28" s="10">
        <v>376.03</v>
      </c>
    </row>
    <row r="29" spans="1:3" x14ac:dyDescent="0.35">
      <c r="A29" s="9" t="s">
        <v>6212</v>
      </c>
      <c r="B29" s="10">
        <v>515.17999999999995</v>
      </c>
      <c r="C29" s="10">
        <v>515.17999999999995</v>
      </c>
    </row>
    <row r="30" spans="1:3" x14ac:dyDescent="0.35">
      <c r="A30" s="9" t="s">
        <v>6213</v>
      </c>
      <c r="B30" s="10">
        <v>95.86</v>
      </c>
      <c r="C30" s="10">
        <v>95.86</v>
      </c>
    </row>
    <row r="31" spans="1:3" x14ac:dyDescent="0.35">
      <c r="A31" s="8" t="s">
        <v>6200</v>
      </c>
      <c r="B31" s="10">
        <v>4045.63</v>
      </c>
      <c r="C31" s="10">
        <v>4045.63</v>
      </c>
    </row>
    <row r="32" spans="1:3" x14ac:dyDescent="0.35">
      <c r="A32" s="9" t="s">
        <v>6202</v>
      </c>
      <c r="B32" s="10">
        <v>258.34499999999997</v>
      </c>
      <c r="C32" s="10">
        <v>258.34499999999997</v>
      </c>
    </row>
    <row r="33" spans="1:3" x14ac:dyDescent="0.35">
      <c r="A33" s="9" t="s">
        <v>6203</v>
      </c>
      <c r="B33" s="10">
        <v>342.19999999999993</v>
      </c>
      <c r="C33" s="10">
        <v>342.19999999999993</v>
      </c>
    </row>
    <row r="34" spans="1:3" x14ac:dyDescent="0.35">
      <c r="A34" s="9" t="s">
        <v>6204</v>
      </c>
      <c r="B34" s="10">
        <v>418.30499999999995</v>
      </c>
      <c r="C34" s="10">
        <v>418.30499999999995</v>
      </c>
    </row>
    <row r="35" spans="1:3" x14ac:dyDescent="0.35">
      <c r="A35" s="9" t="s">
        <v>6205</v>
      </c>
      <c r="B35" s="10">
        <v>102.32999999999998</v>
      </c>
      <c r="C35" s="10">
        <v>102.32999999999998</v>
      </c>
    </row>
    <row r="36" spans="1:3" x14ac:dyDescent="0.35">
      <c r="A36" s="9" t="s">
        <v>6206</v>
      </c>
      <c r="B36" s="10">
        <v>234.72</v>
      </c>
      <c r="C36" s="10">
        <v>234.72</v>
      </c>
    </row>
    <row r="37" spans="1:3" x14ac:dyDescent="0.35">
      <c r="A37" s="9" t="s">
        <v>6207</v>
      </c>
      <c r="B37" s="10">
        <v>430.39</v>
      </c>
      <c r="C37" s="10">
        <v>430.39</v>
      </c>
    </row>
    <row r="38" spans="1:3" x14ac:dyDescent="0.35">
      <c r="A38" s="9" t="s">
        <v>6208</v>
      </c>
      <c r="B38" s="10">
        <v>109.005</v>
      </c>
      <c r="C38" s="10">
        <v>109.005</v>
      </c>
    </row>
    <row r="39" spans="1:3" x14ac:dyDescent="0.35">
      <c r="A39" s="9" t="s">
        <v>6209</v>
      </c>
      <c r="B39" s="10">
        <v>287.52499999999998</v>
      </c>
      <c r="C39" s="10">
        <v>287.52499999999998</v>
      </c>
    </row>
    <row r="40" spans="1:3" x14ac:dyDescent="0.35">
      <c r="A40" s="9" t="s">
        <v>6210</v>
      </c>
      <c r="B40" s="10">
        <v>840.93</v>
      </c>
      <c r="C40" s="10">
        <v>840.93</v>
      </c>
    </row>
    <row r="41" spans="1:3" x14ac:dyDescent="0.35">
      <c r="A41" s="9" t="s">
        <v>6211</v>
      </c>
      <c r="B41" s="10">
        <v>299.07</v>
      </c>
      <c r="C41" s="10">
        <v>299.07</v>
      </c>
    </row>
    <row r="42" spans="1:3" x14ac:dyDescent="0.35">
      <c r="A42" s="9" t="s">
        <v>6212</v>
      </c>
      <c r="B42" s="10">
        <v>323.32499999999999</v>
      </c>
      <c r="C42" s="10">
        <v>323.32499999999999</v>
      </c>
    </row>
    <row r="43" spans="1:3" x14ac:dyDescent="0.35">
      <c r="A43" s="9" t="s">
        <v>6213</v>
      </c>
      <c r="B43" s="10">
        <v>399.48499999999996</v>
      </c>
      <c r="C43" s="10">
        <v>399.48499999999996</v>
      </c>
    </row>
    <row r="44" spans="1:3" x14ac:dyDescent="0.35">
      <c r="A44" s="8" t="s">
        <v>6201</v>
      </c>
      <c r="B44" s="10">
        <v>1439.82</v>
      </c>
      <c r="C44" s="10">
        <v>1439.82</v>
      </c>
    </row>
    <row r="45" spans="1:3" x14ac:dyDescent="0.35">
      <c r="A45" s="9" t="s">
        <v>6202</v>
      </c>
      <c r="B45" s="10">
        <v>112.69499999999999</v>
      </c>
      <c r="C45" s="10">
        <v>112.69499999999999</v>
      </c>
    </row>
    <row r="46" spans="1:3" x14ac:dyDescent="0.35">
      <c r="A46" s="9" t="s">
        <v>6203</v>
      </c>
      <c r="B46" s="10">
        <v>114.88</v>
      </c>
      <c r="C46" s="10">
        <v>114.88</v>
      </c>
    </row>
    <row r="47" spans="1:3" x14ac:dyDescent="0.35">
      <c r="A47" s="9" t="s">
        <v>6204</v>
      </c>
      <c r="B47" s="10">
        <v>277.76</v>
      </c>
      <c r="C47" s="10">
        <v>277.76</v>
      </c>
    </row>
    <row r="48" spans="1:3" x14ac:dyDescent="0.35">
      <c r="A48" s="9" t="s">
        <v>6205</v>
      </c>
      <c r="B48" s="10">
        <v>197.89500000000001</v>
      </c>
      <c r="C48" s="10">
        <v>197.89500000000001</v>
      </c>
    </row>
    <row r="49" spans="1:3" x14ac:dyDescent="0.35">
      <c r="A49" s="9" t="s">
        <v>6206</v>
      </c>
      <c r="B49" s="10">
        <v>193.11500000000001</v>
      </c>
      <c r="C49" s="10">
        <v>193.11500000000001</v>
      </c>
    </row>
    <row r="50" spans="1:3" x14ac:dyDescent="0.35">
      <c r="A50" s="9" t="s">
        <v>6207</v>
      </c>
      <c r="B50" s="10">
        <v>179.79</v>
      </c>
      <c r="C50" s="10">
        <v>179.79</v>
      </c>
    </row>
    <row r="51" spans="1:3" x14ac:dyDescent="0.35">
      <c r="A51" s="9" t="s">
        <v>6208</v>
      </c>
      <c r="B51" s="10">
        <v>247.29</v>
      </c>
      <c r="C51" s="10">
        <v>247.29</v>
      </c>
    </row>
    <row r="52" spans="1:3" x14ac:dyDescent="0.35">
      <c r="A52" s="9" t="s">
        <v>6209</v>
      </c>
      <c r="B52" s="10">
        <v>116.39499999999998</v>
      </c>
      <c r="C52" s="10">
        <v>116.39499999999998</v>
      </c>
    </row>
    <row r="53" spans="1:3" x14ac:dyDescent="0.35">
      <c r="A53" s="8" t="s">
        <v>6223</v>
      </c>
      <c r="B53" s="10">
        <v>11768.495000000003</v>
      </c>
      <c r="C53" s="10">
        <v>11768.495000000003</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C8070-831E-49BB-AF17-543EFF4523B9}">
  <dimension ref="A3:C53"/>
  <sheetViews>
    <sheetView workbookViewId="0">
      <selection activeCell="H5" sqref="H5"/>
    </sheetView>
  </sheetViews>
  <sheetFormatPr defaultRowHeight="14.5" x14ac:dyDescent="0.35"/>
  <cols>
    <col min="1" max="1" width="12.6328125" bestFit="1" customWidth="1"/>
    <col min="2" max="2" width="15.6328125" bestFit="1" customWidth="1"/>
    <col min="3" max="3" width="10.7265625" bestFit="1" customWidth="1"/>
    <col min="4" max="4" width="7.453125" bestFit="1" customWidth="1"/>
    <col min="5" max="5" width="8.1796875" bestFit="1" customWidth="1"/>
    <col min="6" max="6" width="10.7265625" bestFit="1" customWidth="1"/>
  </cols>
  <sheetData>
    <row r="3" spans="1:3" x14ac:dyDescent="0.35">
      <c r="A3" s="5" t="s">
        <v>6220</v>
      </c>
      <c r="B3" s="5" t="s">
        <v>6224</v>
      </c>
    </row>
    <row r="4" spans="1:3" x14ac:dyDescent="0.35">
      <c r="A4" s="5" t="s">
        <v>6222</v>
      </c>
      <c r="B4" t="s">
        <v>6219</v>
      </c>
      <c r="C4" t="s">
        <v>6223</v>
      </c>
    </row>
    <row r="5" spans="1:3" x14ac:dyDescent="0.35">
      <c r="A5" s="8" t="s">
        <v>6198</v>
      </c>
      <c r="B5" s="10">
        <v>2401.0700000000002</v>
      </c>
      <c r="C5" s="10">
        <v>2401.0700000000002</v>
      </c>
    </row>
    <row r="6" spans="1:3" x14ac:dyDescent="0.35">
      <c r="A6" s="9" t="s">
        <v>6202</v>
      </c>
      <c r="B6" s="10">
        <v>123</v>
      </c>
      <c r="C6" s="10">
        <v>123</v>
      </c>
    </row>
    <row r="7" spans="1:3" x14ac:dyDescent="0.35">
      <c r="A7" s="9" t="s">
        <v>6203</v>
      </c>
      <c r="B7" s="10">
        <v>171.93999999999997</v>
      </c>
      <c r="C7" s="10">
        <v>171.93999999999997</v>
      </c>
    </row>
    <row r="8" spans="1:3" x14ac:dyDescent="0.35">
      <c r="A8" s="9" t="s">
        <v>6204</v>
      </c>
      <c r="B8" s="10">
        <v>126.035</v>
      </c>
      <c r="C8" s="10">
        <v>126.035</v>
      </c>
    </row>
    <row r="9" spans="1:3" x14ac:dyDescent="0.35">
      <c r="A9" s="9" t="s">
        <v>6205</v>
      </c>
      <c r="B9" s="10">
        <v>158.85</v>
      </c>
      <c r="C9" s="10">
        <v>158.85</v>
      </c>
    </row>
    <row r="10" spans="1:3" x14ac:dyDescent="0.35">
      <c r="A10" s="9" t="s">
        <v>6206</v>
      </c>
      <c r="B10" s="10">
        <v>68.039999999999992</v>
      </c>
      <c r="C10" s="10">
        <v>68.039999999999992</v>
      </c>
    </row>
    <row r="11" spans="1:3" x14ac:dyDescent="0.35">
      <c r="A11" s="9" t="s">
        <v>6207</v>
      </c>
      <c r="B11" s="10">
        <v>372.25500000000005</v>
      </c>
      <c r="C11" s="10">
        <v>372.25500000000005</v>
      </c>
    </row>
    <row r="12" spans="1:3" x14ac:dyDescent="0.35">
      <c r="A12" s="9" t="s">
        <v>6208</v>
      </c>
      <c r="B12" s="10">
        <v>201.11499999999998</v>
      </c>
      <c r="C12" s="10">
        <v>201.11499999999998</v>
      </c>
    </row>
    <row r="13" spans="1:3" x14ac:dyDescent="0.35">
      <c r="A13" s="9" t="s">
        <v>6209</v>
      </c>
      <c r="B13" s="10">
        <v>166.27500000000001</v>
      </c>
      <c r="C13" s="10">
        <v>166.27500000000001</v>
      </c>
    </row>
    <row r="14" spans="1:3" x14ac:dyDescent="0.35">
      <c r="A14" s="9" t="s">
        <v>6210</v>
      </c>
      <c r="B14" s="10">
        <v>492.89999999999992</v>
      </c>
      <c r="C14" s="10">
        <v>492.89999999999992</v>
      </c>
    </row>
    <row r="15" spans="1:3" x14ac:dyDescent="0.35">
      <c r="A15" s="9" t="s">
        <v>6211</v>
      </c>
      <c r="B15" s="10">
        <v>213.66499999999999</v>
      </c>
      <c r="C15" s="10">
        <v>213.66499999999999</v>
      </c>
    </row>
    <row r="16" spans="1:3" x14ac:dyDescent="0.35">
      <c r="A16" s="9" t="s">
        <v>6212</v>
      </c>
      <c r="B16" s="10">
        <v>96.404999999999987</v>
      </c>
      <c r="C16" s="10">
        <v>96.404999999999987</v>
      </c>
    </row>
    <row r="17" spans="1:3" x14ac:dyDescent="0.35">
      <c r="A17" s="9" t="s">
        <v>6213</v>
      </c>
      <c r="B17" s="10">
        <v>210.58999999999997</v>
      </c>
      <c r="C17" s="10">
        <v>210.58999999999997</v>
      </c>
    </row>
    <row r="18" spans="1:3" x14ac:dyDescent="0.35">
      <c r="A18" s="8" t="s">
        <v>6199</v>
      </c>
      <c r="B18" s="10">
        <v>2493.2649999999999</v>
      </c>
      <c r="C18" s="10">
        <v>2493.2649999999999</v>
      </c>
    </row>
    <row r="19" spans="1:3" x14ac:dyDescent="0.35">
      <c r="A19" s="9" t="s">
        <v>6202</v>
      </c>
      <c r="B19" s="10">
        <v>179.21999999999997</v>
      </c>
      <c r="C19" s="10">
        <v>179.21999999999997</v>
      </c>
    </row>
    <row r="20" spans="1:3" x14ac:dyDescent="0.35">
      <c r="A20" s="9" t="s">
        <v>6203</v>
      </c>
      <c r="B20" s="10">
        <v>429.83</v>
      </c>
      <c r="C20" s="10">
        <v>429.83</v>
      </c>
    </row>
    <row r="21" spans="1:3" x14ac:dyDescent="0.35">
      <c r="A21" s="9" t="s">
        <v>6204</v>
      </c>
      <c r="B21" s="10">
        <v>231.63</v>
      </c>
      <c r="C21" s="10">
        <v>231.63</v>
      </c>
    </row>
    <row r="22" spans="1:3" x14ac:dyDescent="0.35">
      <c r="A22" s="9" t="s">
        <v>6205</v>
      </c>
      <c r="B22" s="10">
        <v>240.04</v>
      </c>
      <c r="C22" s="10">
        <v>240.04</v>
      </c>
    </row>
    <row r="23" spans="1:3" x14ac:dyDescent="0.35">
      <c r="A23" s="9" t="s">
        <v>6206</v>
      </c>
      <c r="B23" s="10">
        <v>59.079999999999991</v>
      </c>
      <c r="C23" s="10">
        <v>59.079999999999991</v>
      </c>
    </row>
    <row r="24" spans="1:3" x14ac:dyDescent="0.35">
      <c r="A24" s="9" t="s">
        <v>6207</v>
      </c>
      <c r="B24" s="10">
        <v>140.88</v>
      </c>
      <c r="C24" s="10">
        <v>140.88</v>
      </c>
    </row>
    <row r="25" spans="1:3" x14ac:dyDescent="0.35">
      <c r="A25" s="9" t="s">
        <v>6208</v>
      </c>
      <c r="B25" s="10">
        <v>414.58499999999998</v>
      </c>
      <c r="C25" s="10">
        <v>414.58499999999998</v>
      </c>
    </row>
    <row r="26" spans="1:3" x14ac:dyDescent="0.35">
      <c r="A26" s="9" t="s">
        <v>6209</v>
      </c>
      <c r="B26" s="10">
        <v>139.67999999999998</v>
      </c>
      <c r="C26" s="10">
        <v>139.67999999999998</v>
      </c>
    </row>
    <row r="27" spans="1:3" x14ac:dyDescent="0.35">
      <c r="A27" s="9" t="s">
        <v>6210</v>
      </c>
      <c r="B27" s="10">
        <v>302.65999999999997</v>
      </c>
      <c r="C27" s="10">
        <v>302.65999999999997</v>
      </c>
    </row>
    <row r="28" spans="1:3" x14ac:dyDescent="0.35">
      <c r="A28" s="9" t="s">
        <v>6211</v>
      </c>
      <c r="B28" s="10">
        <v>174.46999999999997</v>
      </c>
      <c r="C28" s="10">
        <v>174.46999999999997</v>
      </c>
    </row>
    <row r="29" spans="1:3" x14ac:dyDescent="0.35">
      <c r="A29" s="9" t="s">
        <v>6212</v>
      </c>
      <c r="B29" s="10">
        <v>104.08499999999999</v>
      </c>
      <c r="C29" s="10">
        <v>104.08499999999999</v>
      </c>
    </row>
    <row r="30" spans="1:3" x14ac:dyDescent="0.35">
      <c r="A30" s="9" t="s">
        <v>6213</v>
      </c>
      <c r="B30" s="10">
        <v>77.10499999999999</v>
      </c>
      <c r="C30" s="10">
        <v>77.10499999999999</v>
      </c>
    </row>
    <row r="31" spans="1:3" x14ac:dyDescent="0.35">
      <c r="A31" s="8" t="s">
        <v>6200</v>
      </c>
      <c r="B31" s="10">
        <v>2414.145</v>
      </c>
      <c r="C31" s="10">
        <v>2414.145</v>
      </c>
    </row>
    <row r="32" spans="1:3" x14ac:dyDescent="0.35">
      <c r="A32" s="9" t="s">
        <v>6202</v>
      </c>
      <c r="B32" s="10">
        <v>160.19499999999999</v>
      </c>
      <c r="C32" s="10">
        <v>160.19499999999999</v>
      </c>
    </row>
    <row r="33" spans="1:3" x14ac:dyDescent="0.35">
      <c r="A33" s="9" t="s">
        <v>6203</v>
      </c>
      <c r="B33" s="10">
        <v>80.55</v>
      </c>
      <c r="C33" s="10">
        <v>80.55</v>
      </c>
    </row>
    <row r="34" spans="1:3" x14ac:dyDescent="0.35">
      <c r="A34" s="9" t="s">
        <v>6204</v>
      </c>
      <c r="B34" s="10">
        <v>253.15499999999997</v>
      </c>
      <c r="C34" s="10">
        <v>253.15499999999997</v>
      </c>
    </row>
    <row r="35" spans="1:3" x14ac:dyDescent="0.35">
      <c r="A35" s="9" t="s">
        <v>6205</v>
      </c>
      <c r="B35" s="10">
        <v>106.23999999999998</v>
      </c>
      <c r="C35" s="10">
        <v>106.23999999999998</v>
      </c>
    </row>
    <row r="36" spans="1:3" x14ac:dyDescent="0.35">
      <c r="A36" s="9" t="s">
        <v>6206</v>
      </c>
      <c r="B36" s="10">
        <v>272.68999999999994</v>
      </c>
      <c r="C36" s="10">
        <v>272.68999999999994</v>
      </c>
    </row>
    <row r="37" spans="1:3" x14ac:dyDescent="0.35">
      <c r="A37" s="9" t="s">
        <v>6207</v>
      </c>
      <c r="B37" s="10">
        <v>88.334999999999994</v>
      </c>
      <c r="C37" s="10">
        <v>88.334999999999994</v>
      </c>
    </row>
    <row r="38" spans="1:3" x14ac:dyDescent="0.35">
      <c r="A38" s="9" t="s">
        <v>6208</v>
      </c>
      <c r="B38" s="10">
        <v>199.48999999999998</v>
      </c>
      <c r="C38" s="10">
        <v>199.48999999999998</v>
      </c>
    </row>
    <row r="39" spans="1:3" x14ac:dyDescent="0.35">
      <c r="A39" s="9" t="s">
        <v>6209</v>
      </c>
      <c r="B39" s="10">
        <v>374.13499999999993</v>
      </c>
      <c r="C39" s="10">
        <v>374.13499999999993</v>
      </c>
    </row>
    <row r="40" spans="1:3" x14ac:dyDescent="0.35">
      <c r="A40" s="9" t="s">
        <v>6210</v>
      </c>
      <c r="B40" s="10">
        <v>221.43999999999994</v>
      </c>
      <c r="C40" s="10">
        <v>221.43999999999994</v>
      </c>
    </row>
    <row r="41" spans="1:3" x14ac:dyDescent="0.35">
      <c r="A41" s="9" t="s">
        <v>6211</v>
      </c>
      <c r="B41" s="10">
        <v>256.36500000000001</v>
      </c>
      <c r="C41" s="10">
        <v>256.36500000000001</v>
      </c>
    </row>
    <row r="42" spans="1:3" x14ac:dyDescent="0.35">
      <c r="A42" s="9" t="s">
        <v>6212</v>
      </c>
      <c r="B42" s="10">
        <v>189.47499999999999</v>
      </c>
      <c r="C42" s="10">
        <v>189.47499999999999</v>
      </c>
    </row>
    <row r="43" spans="1:3" x14ac:dyDescent="0.35">
      <c r="A43" s="9" t="s">
        <v>6213</v>
      </c>
      <c r="B43" s="10">
        <v>212.07499999999999</v>
      </c>
      <c r="C43" s="10">
        <v>212.07499999999999</v>
      </c>
    </row>
    <row r="44" spans="1:3" x14ac:dyDescent="0.35">
      <c r="A44" s="8" t="s">
        <v>6201</v>
      </c>
      <c r="B44" s="10">
        <v>1696.7649999999999</v>
      </c>
      <c r="C44" s="10">
        <v>1696.7649999999999</v>
      </c>
    </row>
    <row r="45" spans="1:3" x14ac:dyDescent="0.35">
      <c r="A45" s="9" t="s">
        <v>6202</v>
      </c>
      <c r="B45" s="10">
        <v>146.685</v>
      </c>
      <c r="C45" s="10">
        <v>146.685</v>
      </c>
    </row>
    <row r="46" spans="1:3" x14ac:dyDescent="0.35">
      <c r="A46" s="9" t="s">
        <v>6203</v>
      </c>
      <c r="B46" s="10">
        <v>53.759999999999991</v>
      </c>
      <c r="C46" s="10">
        <v>53.759999999999991</v>
      </c>
    </row>
    <row r="47" spans="1:3" x14ac:dyDescent="0.35">
      <c r="A47" s="9" t="s">
        <v>6204</v>
      </c>
      <c r="B47" s="10">
        <v>399.52499999999992</v>
      </c>
      <c r="C47" s="10">
        <v>399.52499999999992</v>
      </c>
    </row>
    <row r="48" spans="1:3" x14ac:dyDescent="0.35">
      <c r="A48" s="9" t="s">
        <v>6205</v>
      </c>
      <c r="B48" s="10">
        <v>200.25499999999997</v>
      </c>
      <c r="C48" s="10">
        <v>200.25499999999997</v>
      </c>
    </row>
    <row r="49" spans="1:3" x14ac:dyDescent="0.35">
      <c r="A49" s="9" t="s">
        <v>6206</v>
      </c>
      <c r="B49" s="10">
        <v>304.46999999999997</v>
      </c>
      <c r="C49" s="10">
        <v>304.46999999999997</v>
      </c>
    </row>
    <row r="50" spans="1:3" x14ac:dyDescent="0.35">
      <c r="A50" s="9" t="s">
        <v>6207</v>
      </c>
      <c r="B50" s="10">
        <v>379.31</v>
      </c>
      <c r="C50" s="10">
        <v>379.31</v>
      </c>
    </row>
    <row r="51" spans="1:3" x14ac:dyDescent="0.35">
      <c r="A51" s="9" t="s">
        <v>6208</v>
      </c>
      <c r="B51" s="10">
        <v>141.69999999999999</v>
      </c>
      <c r="C51" s="10">
        <v>141.69999999999999</v>
      </c>
    </row>
    <row r="52" spans="1:3" x14ac:dyDescent="0.35">
      <c r="A52" s="9" t="s">
        <v>6209</v>
      </c>
      <c r="B52" s="10">
        <v>71.059999999999988</v>
      </c>
      <c r="C52" s="10">
        <v>71.059999999999988</v>
      </c>
    </row>
    <row r="53" spans="1:3" x14ac:dyDescent="0.35">
      <c r="A53" s="8" t="s">
        <v>6223</v>
      </c>
      <c r="B53" s="10">
        <v>9005.244999999999</v>
      </c>
      <c r="C53" s="10">
        <v>9005.244999999999</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6F3F3-D508-408A-8DFA-A3B3F176AD51}">
  <dimension ref="A3:C53"/>
  <sheetViews>
    <sheetView workbookViewId="0">
      <selection activeCell="J9" sqref="J9"/>
    </sheetView>
  </sheetViews>
  <sheetFormatPr defaultRowHeight="14.5" x14ac:dyDescent="0.35"/>
  <cols>
    <col min="1" max="1" width="12.6328125" bestFit="1" customWidth="1"/>
    <col min="2" max="2" width="15.6328125" bestFit="1" customWidth="1"/>
    <col min="3" max="3" width="10.7265625" bestFit="1" customWidth="1"/>
    <col min="4" max="4" width="7.453125" bestFit="1" customWidth="1"/>
    <col min="5" max="5" width="8.1796875" bestFit="1" customWidth="1"/>
    <col min="6" max="6" width="10.7265625" bestFit="1" customWidth="1"/>
  </cols>
  <sheetData>
    <row r="3" spans="1:3" x14ac:dyDescent="0.35">
      <c r="A3" s="5" t="s">
        <v>6220</v>
      </c>
      <c r="B3" s="5" t="s">
        <v>6224</v>
      </c>
    </row>
    <row r="4" spans="1:3" x14ac:dyDescent="0.35">
      <c r="A4" s="5" t="s">
        <v>6222</v>
      </c>
      <c r="B4" t="s">
        <v>6218</v>
      </c>
      <c r="C4" t="s">
        <v>6223</v>
      </c>
    </row>
    <row r="5" spans="1:3" x14ac:dyDescent="0.35">
      <c r="A5" s="8" t="s">
        <v>6198</v>
      </c>
      <c r="B5" s="10">
        <v>3378.0049999999997</v>
      </c>
      <c r="C5" s="10">
        <v>3378.0049999999997</v>
      </c>
    </row>
    <row r="6" spans="1:3" x14ac:dyDescent="0.35">
      <c r="A6" s="9" t="s">
        <v>6202</v>
      </c>
      <c r="B6" s="10">
        <v>213.16</v>
      </c>
      <c r="C6" s="10">
        <v>213.16</v>
      </c>
    </row>
    <row r="7" spans="1:3" x14ac:dyDescent="0.35">
      <c r="A7" s="9" t="s">
        <v>6203</v>
      </c>
      <c r="B7" s="10">
        <v>434.03999999999996</v>
      </c>
      <c r="C7" s="10">
        <v>434.03999999999996</v>
      </c>
    </row>
    <row r="8" spans="1:3" x14ac:dyDescent="0.35">
      <c r="A8" s="9" t="s">
        <v>6204</v>
      </c>
      <c r="B8" s="10">
        <v>321.03999999999996</v>
      </c>
      <c r="C8" s="10">
        <v>321.03999999999996</v>
      </c>
    </row>
    <row r="9" spans="1:3" x14ac:dyDescent="0.35">
      <c r="A9" s="9" t="s">
        <v>6205</v>
      </c>
      <c r="B9" s="10">
        <v>533.70499999999993</v>
      </c>
      <c r="C9" s="10">
        <v>533.70499999999993</v>
      </c>
    </row>
    <row r="10" spans="1:3" x14ac:dyDescent="0.35">
      <c r="A10" s="9" t="s">
        <v>6206</v>
      </c>
      <c r="B10" s="10">
        <v>193.83499999999998</v>
      </c>
      <c r="C10" s="10">
        <v>193.83499999999998</v>
      </c>
    </row>
    <row r="11" spans="1:3" x14ac:dyDescent="0.35">
      <c r="A11" s="9" t="s">
        <v>6207</v>
      </c>
      <c r="B11" s="10">
        <v>171.04499999999999</v>
      </c>
      <c r="C11" s="10">
        <v>171.04499999999999</v>
      </c>
    </row>
    <row r="12" spans="1:3" x14ac:dyDescent="0.35">
      <c r="A12" s="9" t="s">
        <v>6208</v>
      </c>
      <c r="B12" s="10">
        <v>184.13</v>
      </c>
      <c r="C12" s="10">
        <v>184.13</v>
      </c>
    </row>
    <row r="13" spans="1:3" x14ac:dyDescent="0.35">
      <c r="A13" s="9" t="s">
        <v>6209</v>
      </c>
      <c r="B13" s="10">
        <v>134.23000000000002</v>
      </c>
      <c r="C13" s="10">
        <v>134.23000000000002</v>
      </c>
    </row>
    <row r="14" spans="1:3" x14ac:dyDescent="0.35">
      <c r="A14" s="9" t="s">
        <v>6210</v>
      </c>
      <c r="B14" s="10">
        <v>439.30999999999995</v>
      </c>
      <c r="C14" s="10">
        <v>439.30999999999995</v>
      </c>
    </row>
    <row r="15" spans="1:3" x14ac:dyDescent="0.35">
      <c r="A15" s="9" t="s">
        <v>6211</v>
      </c>
      <c r="B15" s="10">
        <v>215.55499999999998</v>
      </c>
      <c r="C15" s="10">
        <v>215.55499999999998</v>
      </c>
    </row>
    <row r="16" spans="1:3" x14ac:dyDescent="0.35">
      <c r="A16" s="9" t="s">
        <v>6212</v>
      </c>
      <c r="B16" s="10">
        <v>350.89499999999992</v>
      </c>
      <c r="C16" s="10">
        <v>350.89499999999992</v>
      </c>
    </row>
    <row r="17" spans="1:3" x14ac:dyDescent="0.35">
      <c r="A17" s="9" t="s">
        <v>6213</v>
      </c>
      <c r="B17" s="10">
        <v>187.06</v>
      </c>
      <c r="C17" s="10">
        <v>187.06</v>
      </c>
    </row>
    <row r="18" spans="1:3" x14ac:dyDescent="0.35">
      <c r="A18" s="8" t="s">
        <v>6199</v>
      </c>
      <c r="B18" s="10">
        <v>2604.4549999999999</v>
      </c>
      <c r="C18" s="10">
        <v>2604.4549999999999</v>
      </c>
    </row>
    <row r="19" spans="1:3" x14ac:dyDescent="0.35">
      <c r="A19" s="9" t="s">
        <v>6202</v>
      </c>
      <c r="B19" s="10">
        <v>274.67500000000001</v>
      </c>
      <c r="C19" s="10">
        <v>274.67500000000001</v>
      </c>
    </row>
    <row r="20" spans="1:3" x14ac:dyDescent="0.35">
      <c r="A20" s="9" t="s">
        <v>6203</v>
      </c>
      <c r="B20" s="10">
        <v>194.17499999999998</v>
      </c>
      <c r="C20" s="10">
        <v>194.17499999999998</v>
      </c>
    </row>
    <row r="21" spans="1:3" x14ac:dyDescent="0.35">
      <c r="A21" s="9" t="s">
        <v>6204</v>
      </c>
      <c r="B21" s="10">
        <v>281.20499999999998</v>
      </c>
      <c r="C21" s="10">
        <v>281.20499999999998</v>
      </c>
    </row>
    <row r="22" spans="1:3" x14ac:dyDescent="0.35">
      <c r="A22" s="9" t="s">
        <v>6205</v>
      </c>
      <c r="B22" s="10">
        <v>147.51000000000002</v>
      </c>
      <c r="C22" s="10">
        <v>147.51000000000002</v>
      </c>
    </row>
    <row r="23" spans="1:3" x14ac:dyDescent="0.35">
      <c r="A23" s="9" t="s">
        <v>6206</v>
      </c>
      <c r="B23" s="10">
        <v>83.429999999999993</v>
      </c>
      <c r="C23" s="10">
        <v>83.429999999999993</v>
      </c>
    </row>
    <row r="24" spans="1:3" x14ac:dyDescent="0.35">
      <c r="A24" s="9" t="s">
        <v>6207</v>
      </c>
      <c r="B24" s="10">
        <v>355.33999999999992</v>
      </c>
      <c r="C24" s="10">
        <v>355.33999999999992</v>
      </c>
    </row>
    <row r="25" spans="1:3" x14ac:dyDescent="0.35">
      <c r="A25" s="9" t="s">
        <v>6208</v>
      </c>
      <c r="B25" s="10">
        <v>236.315</v>
      </c>
      <c r="C25" s="10">
        <v>236.315</v>
      </c>
    </row>
    <row r="26" spans="1:3" x14ac:dyDescent="0.35">
      <c r="A26" s="9" t="s">
        <v>6209</v>
      </c>
      <c r="B26" s="10">
        <v>60.5</v>
      </c>
      <c r="C26" s="10">
        <v>60.5</v>
      </c>
    </row>
    <row r="27" spans="1:3" x14ac:dyDescent="0.35">
      <c r="A27" s="9" t="s">
        <v>6210</v>
      </c>
      <c r="B27" s="10">
        <v>89.13</v>
      </c>
      <c r="C27" s="10">
        <v>89.13</v>
      </c>
    </row>
    <row r="28" spans="1:3" x14ac:dyDescent="0.35">
      <c r="A28" s="9" t="s">
        <v>6211</v>
      </c>
      <c r="B28" s="10">
        <v>440.96499999999992</v>
      </c>
      <c r="C28" s="10">
        <v>440.96499999999992</v>
      </c>
    </row>
    <row r="29" spans="1:3" x14ac:dyDescent="0.35">
      <c r="A29" s="9" t="s">
        <v>6212</v>
      </c>
      <c r="B29" s="10">
        <v>347.03999999999996</v>
      </c>
      <c r="C29" s="10">
        <v>347.03999999999996</v>
      </c>
    </row>
    <row r="30" spans="1:3" x14ac:dyDescent="0.35">
      <c r="A30" s="9" t="s">
        <v>6213</v>
      </c>
      <c r="B30" s="10">
        <v>94.17</v>
      </c>
      <c r="C30" s="10">
        <v>94.17</v>
      </c>
    </row>
    <row r="31" spans="1:3" x14ac:dyDescent="0.35">
      <c r="A31" s="8" t="s">
        <v>6200</v>
      </c>
      <c r="B31" s="10">
        <v>3836.6949999999997</v>
      </c>
      <c r="C31" s="10">
        <v>3836.6949999999997</v>
      </c>
    </row>
    <row r="32" spans="1:3" x14ac:dyDescent="0.35">
      <c r="A32" s="9" t="s">
        <v>6202</v>
      </c>
      <c r="B32" s="10">
        <v>279.52</v>
      </c>
      <c r="C32" s="10">
        <v>279.52</v>
      </c>
    </row>
    <row r="33" spans="1:3" x14ac:dyDescent="0.35">
      <c r="A33" s="9" t="s">
        <v>6203</v>
      </c>
      <c r="B33" s="10">
        <v>251.83</v>
      </c>
      <c r="C33" s="10">
        <v>251.83</v>
      </c>
    </row>
    <row r="34" spans="1:3" x14ac:dyDescent="0.35">
      <c r="A34" s="9" t="s">
        <v>6204</v>
      </c>
      <c r="B34" s="10">
        <v>405.05500000000001</v>
      </c>
      <c r="C34" s="10">
        <v>405.05500000000001</v>
      </c>
    </row>
    <row r="35" spans="1:3" x14ac:dyDescent="0.35">
      <c r="A35" s="9" t="s">
        <v>6205</v>
      </c>
      <c r="B35" s="10">
        <v>554.875</v>
      </c>
      <c r="C35" s="10">
        <v>554.875</v>
      </c>
    </row>
    <row r="36" spans="1:3" x14ac:dyDescent="0.35">
      <c r="A36" s="9" t="s">
        <v>6206</v>
      </c>
      <c r="B36" s="10">
        <v>267.2</v>
      </c>
      <c r="C36" s="10">
        <v>267.2</v>
      </c>
    </row>
    <row r="37" spans="1:3" x14ac:dyDescent="0.35">
      <c r="A37" s="9" t="s">
        <v>6207</v>
      </c>
      <c r="B37" s="10">
        <v>209.59999999999997</v>
      </c>
      <c r="C37" s="10">
        <v>209.59999999999997</v>
      </c>
    </row>
    <row r="38" spans="1:3" x14ac:dyDescent="0.35">
      <c r="A38" s="9" t="s">
        <v>6208</v>
      </c>
      <c r="B38" s="10">
        <v>61.034999999999997</v>
      </c>
      <c r="C38" s="10">
        <v>61.034999999999997</v>
      </c>
    </row>
    <row r="39" spans="1:3" x14ac:dyDescent="0.35">
      <c r="A39" s="9" t="s">
        <v>6209</v>
      </c>
      <c r="B39" s="10">
        <v>125.58</v>
      </c>
      <c r="C39" s="10">
        <v>125.58</v>
      </c>
    </row>
    <row r="40" spans="1:3" x14ac:dyDescent="0.35">
      <c r="A40" s="9" t="s">
        <v>6210</v>
      </c>
      <c r="B40" s="10">
        <v>171.33</v>
      </c>
      <c r="C40" s="10">
        <v>171.33</v>
      </c>
    </row>
    <row r="41" spans="1:3" x14ac:dyDescent="0.35">
      <c r="A41" s="9" t="s">
        <v>6211</v>
      </c>
      <c r="B41" s="10">
        <v>584.64</v>
      </c>
      <c r="C41" s="10">
        <v>584.64</v>
      </c>
    </row>
    <row r="42" spans="1:3" x14ac:dyDescent="0.35">
      <c r="A42" s="9" t="s">
        <v>6212</v>
      </c>
      <c r="B42" s="10">
        <v>537.81000000000006</v>
      </c>
      <c r="C42" s="10">
        <v>537.81000000000006</v>
      </c>
    </row>
    <row r="43" spans="1:3" x14ac:dyDescent="0.35">
      <c r="A43" s="9" t="s">
        <v>6213</v>
      </c>
      <c r="B43" s="10">
        <v>388.22</v>
      </c>
      <c r="C43" s="10">
        <v>388.22</v>
      </c>
    </row>
    <row r="44" spans="1:3" x14ac:dyDescent="0.35">
      <c r="A44" s="8" t="s">
        <v>6201</v>
      </c>
      <c r="B44" s="10">
        <v>2234.9199999999996</v>
      </c>
      <c r="C44" s="10">
        <v>2234.9199999999996</v>
      </c>
    </row>
    <row r="45" spans="1:3" x14ac:dyDescent="0.35">
      <c r="A45" s="9" t="s">
        <v>6202</v>
      </c>
      <c r="B45" s="10">
        <v>843.7149999999998</v>
      </c>
      <c r="C45" s="10">
        <v>843.7149999999998</v>
      </c>
    </row>
    <row r="46" spans="1:3" x14ac:dyDescent="0.35">
      <c r="A46" s="9" t="s">
        <v>6203</v>
      </c>
      <c r="B46" s="10">
        <v>91.175000000000011</v>
      </c>
      <c r="C46" s="10">
        <v>91.175000000000011</v>
      </c>
    </row>
    <row r="47" spans="1:3" x14ac:dyDescent="0.35">
      <c r="A47" s="9" t="s">
        <v>6204</v>
      </c>
      <c r="B47" s="10">
        <v>462.50999999999993</v>
      </c>
      <c r="C47" s="10">
        <v>462.50999999999993</v>
      </c>
    </row>
    <row r="48" spans="1:3" x14ac:dyDescent="0.35">
      <c r="A48" s="9" t="s">
        <v>6205</v>
      </c>
      <c r="B48" s="10">
        <v>88.545000000000002</v>
      </c>
      <c r="C48" s="10">
        <v>88.545000000000002</v>
      </c>
    </row>
    <row r="49" spans="1:3" x14ac:dyDescent="0.35">
      <c r="A49" s="9" t="s">
        <v>6206</v>
      </c>
      <c r="B49" s="10">
        <v>292.28999999999996</v>
      </c>
      <c r="C49" s="10">
        <v>292.28999999999996</v>
      </c>
    </row>
    <row r="50" spans="1:3" x14ac:dyDescent="0.35">
      <c r="A50" s="9" t="s">
        <v>6207</v>
      </c>
      <c r="B50" s="10">
        <v>170.08999999999997</v>
      </c>
      <c r="C50" s="10">
        <v>170.08999999999997</v>
      </c>
    </row>
    <row r="51" spans="1:3" x14ac:dyDescent="0.35">
      <c r="A51" s="9" t="s">
        <v>6208</v>
      </c>
      <c r="B51" s="10">
        <v>271.05500000000001</v>
      </c>
      <c r="C51" s="10">
        <v>271.05500000000001</v>
      </c>
    </row>
    <row r="52" spans="1:3" x14ac:dyDescent="0.35">
      <c r="A52" s="9" t="s">
        <v>6209</v>
      </c>
      <c r="B52" s="10">
        <v>15.54</v>
      </c>
      <c r="C52" s="10">
        <v>15.54</v>
      </c>
    </row>
    <row r="53" spans="1:3" x14ac:dyDescent="0.35">
      <c r="A53" s="8" t="s">
        <v>6223</v>
      </c>
      <c r="B53" s="10">
        <v>12054.075000000001</v>
      </c>
      <c r="C53" s="10">
        <v>12054.075000000001</v>
      </c>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D1369-05E8-41BB-AC06-7DBDD3F9B4C5}">
  <dimension ref="A3:C53"/>
  <sheetViews>
    <sheetView workbookViewId="0">
      <selection activeCell="K6" sqref="K6"/>
    </sheetView>
  </sheetViews>
  <sheetFormatPr defaultRowHeight="14.5" x14ac:dyDescent="0.35"/>
  <cols>
    <col min="1" max="1" width="12.6328125" bestFit="1" customWidth="1"/>
    <col min="2" max="2" width="15.6328125" bestFit="1" customWidth="1"/>
    <col min="3" max="3" width="10.7265625" bestFit="1" customWidth="1"/>
    <col min="4" max="4" width="7.453125" bestFit="1" customWidth="1"/>
    <col min="5" max="5" width="8.1796875" bestFit="1" customWidth="1"/>
    <col min="6" max="6" width="10.7265625" bestFit="1" customWidth="1"/>
  </cols>
  <sheetData>
    <row r="3" spans="1:3" x14ac:dyDescent="0.35">
      <c r="A3" s="5" t="s">
        <v>6220</v>
      </c>
      <c r="B3" s="5" t="s">
        <v>6224</v>
      </c>
    </row>
    <row r="4" spans="1:3" x14ac:dyDescent="0.35">
      <c r="A4" s="5" t="s">
        <v>6222</v>
      </c>
      <c r="B4" t="s">
        <v>6217</v>
      </c>
      <c r="C4" t="s">
        <v>6223</v>
      </c>
    </row>
    <row r="5" spans="1:3" x14ac:dyDescent="0.35">
      <c r="A5" s="8" t="s">
        <v>6198</v>
      </c>
      <c r="B5" s="10">
        <v>3481.4599999999996</v>
      </c>
      <c r="C5" s="10">
        <v>3481.4599999999996</v>
      </c>
    </row>
    <row r="6" spans="1:3" x14ac:dyDescent="0.35">
      <c r="A6" s="9" t="s">
        <v>6202</v>
      </c>
      <c r="B6" s="10">
        <v>305.96999999999997</v>
      </c>
      <c r="C6" s="10">
        <v>305.96999999999997</v>
      </c>
    </row>
    <row r="7" spans="1:3" x14ac:dyDescent="0.35">
      <c r="A7" s="9" t="s">
        <v>6203</v>
      </c>
      <c r="B7" s="10">
        <v>129.46</v>
      </c>
      <c r="C7" s="10">
        <v>129.46</v>
      </c>
    </row>
    <row r="8" spans="1:3" x14ac:dyDescent="0.35">
      <c r="A8" s="9" t="s">
        <v>6204</v>
      </c>
      <c r="B8" s="10">
        <v>349.12000000000006</v>
      </c>
      <c r="C8" s="10">
        <v>349.12000000000006</v>
      </c>
    </row>
    <row r="9" spans="1:3" x14ac:dyDescent="0.35">
      <c r="A9" s="9" t="s">
        <v>6205</v>
      </c>
      <c r="B9" s="10">
        <v>681.07499999999993</v>
      </c>
      <c r="C9" s="10">
        <v>681.07499999999993</v>
      </c>
    </row>
    <row r="10" spans="1:3" x14ac:dyDescent="0.35">
      <c r="A10" s="9" t="s">
        <v>6206</v>
      </c>
      <c r="B10" s="10">
        <v>83.025000000000006</v>
      </c>
      <c r="C10" s="10">
        <v>83.025000000000006</v>
      </c>
    </row>
    <row r="11" spans="1:3" x14ac:dyDescent="0.35">
      <c r="A11" s="9" t="s">
        <v>6207</v>
      </c>
      <c r="B11" s="10">
        <v>678.3599999999999</v>
      </c>
      <c r="C11" s="10">
        <v>678.3599999999999</v>
      </c>
    </row>
    <row r="12" spans="1:3" x14ac:dyDescent="0.35">
      <c r="A12" s="9" t="s">
        <v>6208</v>
      </c>
      <c r="B12" s="10">
        <v>273.86999999999995</v>
      </c>
      <c r="C12" s="10">
        <v>273.86999999999995</v>
      </c>
    </row>
    <row r="13" spans="1:3" x14ac:dyDescent="0.35">
      <c r="A13" s="9" t="s">
        <v>6209</v>
      </c>
      <c r="B13" s="10">
        <v>70.95</v>
      </c>
      <c r="C13" s="10">
        <v>70.95</v>
      </c>
    </row>
    <row r="14" spans="1:3" x14ac:dyDescent="0.35">
      <c r="A14" s="9" t="s">
        <v>6210</v>
      </c>
      <c r="B14" s="10">
        <v>166.1</v>
      </c>
      <c r="C14" s="10">
        <v>166.1</v>
      </c>
    </row>
    <row r="15" spans="1:3" x14ac:dyDescent="0.35">
      <c r="A15" s="9" t="s">
        <v>6211</v>
      </c>
      <c r="B15" s="10">
        <v>153.76499999999999</v>
      </c>
      <c r="C15" s="10">
        <v>153.76499999999999</v>
      </c>
    </row>
    <row r="16" spans="1:3" x14ac:dyDescent="0.35">
      <c r="A16" s="9" t="s">
        <v>6212</v>
      </c>
      <c r="B16" s="10">
        <v>63.249999999999993</v>
      </c>
      <c r="C16" s="10">
        <v>63.249999999999993</v>
      </c>
    </row>
    <row r="17" spans="1:3" x14ac:dyDescent="0.35">
      <c r="A17" s="9" t="s">
        <v>6213</v>
      </c>
      <c r="B17" s="10">
        <v>526.51499999999987</v>
      </c>
      <c r="C17" s="10">
        <v>526.51499999999987</v>
      </c>
    </row>
    <row r="18" spans="1:3" x14ac:dyDescent="0.35">
      <c r="A18" s="8" t="s">
        <v>6199</v>
      </c>
      <c r="B18" s="10">
        <v>3663.41</v>
      </c>
      <c r="C18" s="10">
        <v>3663.41</v>
      </c>
    </row>
    <row r="19" spans="1:3" x14ac:dyDescent="0.35">
      <c r="A19" s="9" t="s">
        <v>6202</v>
      </c>
      <c r="B19" s="10">
        <v>65.805000000000007</v>
      </c>
      <c r="C19" s="10">
        <v>65.805000000000007</v>
      </c>
    </row>
    <row r="20" spans="1:3" x14ac:dyDescent="0.35">
      <c r="A20" s="9" t="s">
        <v>6203</v>
      </c>
      <c r="B20" s="10">
        <v>428.88499999999999</v>
      </c>
      <c r="C20" s="10">
        <v>428.88499999999999</v>
      </c>
    </row>
    <row r="21" spans="1:3" x14ac:dyDescent="0.35">
      <c r="A21" s="9" t="s">
        <v>6204</v>
      </c>
      <c r="B21" s="10">
        <v>271.48500000000001</v>
      </c>
      <c r="C21" s="10">
        <v>271.48500000000001</v>
      </c>
    </row>
    <row r="22" spans="1:3" x14ac:dyDescent="0.35">
      <c r="A22" s="9" t="s">
        <v>6205</v>
      </c>
      <c r="B22" s="10">
        <v>347.26</v>
      </c>
      <c r="C22" s="10">
        <v>347.26</v>
      </c>
    </row>
    <row r="23" spans="1:3" x14ac:dyDescent="0.35">
      <c r="A23" s="9" t="s">
        <v>6206</v>
      </c>
      <c r="B23" s="10">
        <v>541.73</v>
      </c>
      <c r="C23" s="10">
        <v>541.73</v>
      </c>
    </row>
    <row r="24" spans="1:3" x14ac:dyDescent="0.35">
      <c r="A24" s="9" t="s">
        <v>6207</v>
      </c>
      <c r="B24" s="10">
        <v>357.42999999999989</v>
      </c>
      <c r="C24" s="10">
        <v>357.42999999999989</v>
      </c>
    </row>
    <row r="25" spans="1:3" x14ac:dyDescent="0.35">
      <c r="A25" s="9" t="s">
        <v>6208</v>
      </c>
      <c r="B25" s="10">
        <v>227.42500000000001</v>
      </c>
      <c r="C25" s="10">
        <v>227.42500000000001</v>
      </c>
    </row>
    <row r="26" spans="1:3" x14ac:dyDescent="0.35">
      <c r="A26" s="9" t="s">
        <v>6209</v>
      </c>
      <c r="B26" s="10">
        <v>77.72</v>
      </c>
      <c r="C26" s="10">
        <v>77.72</v>
      </c>
    </row>
    <row r="27" spans="1:3" x14ac:dyDescent="0.35">
      <c r="A27" s="9" t="s">
        <v>6210</v>
      </c>
      <c r="B27" s="10">
        <v>195.11</v>
      </c>
      <c r="C27" s="10">
        <v>195.11</v>
      </c>
    </row>
    <row r="28" spans="1:3" x14ac:dyDescent="0.35">
      <c r="A28" s="9" t="s">
        <v>6211</v>
      </c>
      <c r="B28" s="10">
        <v>523.2399999999999</v>
      </c>
      <c r="C28" s="10">
        <v>523.2399999999999</v>
      </c>
    </row>
    <row r="29" spans="1:3" x14ac:dyDescent="0.35">
      <c r="A29" s="9" t="s">
        <v>6212</v>
      </c>
      <c r="B29" s="10">
        <v>142.56</v>
      </c>
      <c r="C29" s="10">
        <v>142.56</v>
      </c>
    </row>
    <row r="30" spans="1:3" x14ac:dyDescent="0.35">
      <c r="A30" s="9" t="s">
        <v>6213</v>
      </c>
      <c r="B30" s="10">
        <v>484.76</v>
      </c>
      <c r="C30" s="10">
        <v>484.76</v>
      </c>
    </row>
    <row r="31" spans="1:3" x14ac:dyDescent="0.35">
      <c r="A31" s="8" t="s">
        <v>6200</v>
      </c>
      <c r="B31" s="10">
        <v>3469.6399999999994</v>
      </c>
      <c r="C31" s="10">
        <v>3469.6399999999994</v>
      </c>
    </row>
    <row r="32" spans="1:3" x14ac:dyDescent="0.35">
      <c r="A32" s="9" t="s">
        <v>6202</v>
      </c>
      <c r="B32" s="10">
        <v>139.625</v>
      </c>
      <c r="C32" s="10">
        <v>139.625</v>
      </c>
    </row>
    <row r="33" spans="1:3" x14ac:dyDescent="0.35">
      <c r="A33" s="9" t="s">
        <v>6203</v>
      </c>
      <c r="B33" s="10">
        <v>284.25</v>
      </c>
      <c r="C33" s="10">
        <v>284.25</v>
      </c>
    </row>
    <row r="34" spans="1:3" x14ac:dyDescent="0.35">
      <c r="A34" s="9" t="s">
        <v>6204</v>
      </c>
      <c r="B34" s="10">
        <v>468.125</v>
      </c>
      <c r="C34" s="10">
        <v>468.125</v>
      </c>
    </row>
    <row r="35" spans="1:3" x14ac:dyDescent="0.35">
      <c r="A35" s="9" t="s">
        <v>6205</v>
      </c>
      <c r="B35" s="10">
        <v>242.14</v>
      </c>
      <c r="C35" s="10">
        <v>242.14</v>
      </c>
    </row>
    <row r="36" spans="1:3" x14ac:dyDescent="0.35">
      <c r="A36" s="9" t="s">
        <v>6206</v>
      </c>
      <c r="B36" s="10">
        <v>133.08000000000001</v>
      </c>
      <c r="C36" s="10">
        <v>133.08000000000001</v>
      </c>
    </row>
    <row r="37" spans="1:3" x14ac:dyDescent="0.35">
      <c r="A37" s="9" t="s">
        <v>6207</v>
      </c>
      <c r="B37" s="10">
        <v>136.20499999999998</v>
      </c>
      <c r="C37" s="10">
        <v>136.20499999999998</v>
      </c>
    </row>
    <row r="38" spans="1:3" x14ac:dyDescent="0.35">
      <c r="A38" s="9" t="s">
        <v>6208</v>
      </c>
      <c r="B38" s="10">
        <v>393.57499999999999</v>
      </c>
      <c r="C38" s="10">
        <v>393.57499999999999</v>
      </c>
    </row>
    <row r="39" spans="1:3" x14ac:dyDescent="0.35">
      <c r="A39" s="9" t="s">
        <v>6209</v>
      </c>
      <c r="B39" s="10">
        <v>288.66999999999996</v>
      </c>
      <c r="C39" s="10">
        <v>288.66999999999996</v>
      </c>
    </row>
    <row r="40" spans="1:3" x14ac:dyDescent="0.35">
      <c r="A40" s="9" t="s">
        <v>6210</v>
      </c>
      <c r="B40" s="10">
        <v>409.875</v>
      </c>
      <c r="C40" s="10">
        <v>409.875</v>
      </c>
    </row>
    <row r="41" spans="1:3" x14ac:dyDescent="0.35">
      <c r="A41" s="9" t="s">
        <v>6211</v>
      </c>
      <c r="B41" s="10">
        <v>260.32499999999999</v>
      </c>
      <c r="C41" s="10">
        <v>260.32499999999999</v>
      </c>
    </row>
    <row r="42" spans="1:3" x14ac:dyDescent="0.35">
      <c r="A42" s="9" t="s">
        <v>6212</v>
      </c>
      <c r="B42" s="10">
        <v>565.56999999999994</v>
      </c>
      <c r="C42" s="10">
        <v>565.56999999999994</v>
      </c>
    </row>
    <row r="43" spans="1:3" x14ac:dyDescent="0.35">
      <c r="A43" s="9" t="s">
        <v>6213</v>
      </c>
      <c r="B43" s="10">
        <v>148.20000000000002</v>
      </c>
      <c r="C43" s="10">
        <v>148.20000000000002</v>
      </c>
    </row>
    <row r="44" spans="1:3" x14ac:dyDescent="0.35">
      <c r="A44" s="8" t="s">
        <v>6201</v>
      </c>
      <c r="B44" s="10">
        <v>1691.9299999999998</v>
      </c>
      <c r="C44" s="10">
        <v>1691.9299999999998</v>
      </c>
    </row>
    <row r="45" spans="1:3" x14ac:dyDescent="0.35">
      <c r="A45" s="9" t="s">
        <v>6202</v>
      </c>
      <c r="B45" s="10">
        <v>166.32</v>
      </c>
      <c r="C45" s="10">
        <v>166.32</v>
      </c>
    </row>
    <row r="46" spans="1:3" x14ac:dyDescent="0.35">
      <c r="A46" s="9" t="s">
        <v>6203</v>
      </c>
      <c r="B46" s="10">
        <v>133.815</v>
      </c>
      <c r="C46" s="10">
        <v>133.815</v>
      </c>
    </row>
    <row r="47" spans="1:3" x14ac:dyDescent="0.35">
      <c r="A47" s="9" t="s">
        <v>6204</v>
      </c>
      <c r="B47" s="10">
        <v>175.40999999999997</v>
      </c>
      <c r="C47" s="10">
        <v>175.40999999999997</v>
      </c>
    </row>
    <row r="48" spans="1:3" x14ac:dyDescent="0.35">
      <c r="A48" s="9" t="s">
        <v>6205</v>
      </c>
      <c r="B48" s="10">
        <v>289.75499999999994</v>
      </c>
      <c r="C48" s="10">
        <v>289.75499999999994</v>
      </c>
    </row>
    <row r="49" spans="1:3" x14ac:dyDescent="0.35">
      <c r="A49" s="9" t="s">
        <v>6206</v>
      </c>
      <c r="B49" s="10">
        <v>212.49499999999998</v>
      </c>
      <c r="C49" s="10">
        <v>212.49499999999998</v>
      </c>
    </row>
    <row r="50" spans="1:3" x14ac:dyDescent="0.35">
      <c r="A50" s="9" t="s">
        <v>6207</v>
      </c>
      <c r="B50" s="10">
        <v>426.19999999999993</v>
      </c>
      <c r="C50" s="10">
        <v>426.19999999999993</v>
      </c>
    </row>
    <row r="51" spans="1:3" x14ac:dyDescent="0.35">
      <c r="A51" s="9" t="s">
        <v>6208</v>
      </c>
      <c r="B51" s="10">
        <v>246.685</v>
      </c>
      <c r="C51" s="10">
        <v>246.685</v>
      </c>
    </row>
    <row r="52" spans="1:3" x14ac:dyDescent="0.35">
      <c r="A52" s="9" t="s">
        <v>6209</v>
      </c>
      <c r="B52" s="10">
        <v>41.25</v>
      </c>
      <c r="C52" s="10">
        <v>41.25</v>
      </c>
    </row>
    <row r="53" spans="1:3" x14ac:dyDescent="0.35">
      <c r="A53" s="8" t="s">
        <v>6223</v>
      </c>
      <c r="B53" s="10">
        <v>12306.440000000002</v>
      </c>
      <c r="C53" s="10">
        <v>12306.440000000002</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E66F6-861E-422D-B901-6041F1D55C64}">
  <dimension ref="B2:F8"/>
  <sheetViews>
    <sheetView topLeftCell="B1" workbookViewId="0">
      <selection activeCell="E6" sqref="E6"/>
    </sheetView>
  </sheetViews>
  <sheetFormatPr defaultRowHeight="14.5" x14ac:dyDescent="0.35"/>
  <cols>
    <col min="2" max="2" width="21.26953125" bestFit="1" customWidth="1"/>
    <col min="3" max="3" width="11.08984375" bestFit="1" customWidth="1"/>
    <col min="5" max="5" width="24" bestFit="1" customWidth="1"/>
    <col min="6" max="6" width="11.08984375" bestFit="1" customWidth="1"/>
  </cols>
  <sheetData>
    <row r="2" spans="2:6" x14ac:dyDescent="0.35">
      <c r="B2" s="11" t="s">
        <v>6225</v>
      </c>
      <c r="E2" s="11" t="s">
        <v>6225</v>
      </c>
    </row>
    <row r="4" spans="2:6" x14ac:dyDescent="0.35">
      <c r="B4" t="s">
        <v>6226</v>
      </c>
      <c r="C4" t="s">
        <v>6227</v>
      </c>
      <c r="E4" t="s">
        <v>6226</v>
      </c>
      <c r="F4" t="s">
        <v>6227</v>
      </c>
    </row>
    <row r="5" spans="2:6" x14ac:dyDescent="0.35">
      <c r="B5" t="s">
        <v>6228</v>
      </c>
      <c r="C5" s="4">
        <f>SUM(orders!O1:O1001)</f>
        <v>45134.254999999997</v>
      </c>
      <c r="E5" t="s">
        <v>6231</v>
      </c>
      <c r="F5" s="4">
        <f>SUM(Orders[Product Profit])</f>
        <v>4520.2174000000014</v>
      </c>
    </row>
    <row r="6" spans="2:6" x14ac:dyDescent="0.35">
      <c r="B6" t="s">
        <v>6229</v>
      </c>
      <c r="C6">
        <f>COUNTA(orders!A2:A1001)</f>
        <v>1000</v>
      </c>
      <c r="E6" t="s">
        <v>6246</v>
      </c>
      <c r="F6">
        <f>AVERAGE(Orders[Sales])</f>
        <v>45.134254999999996</v>
      </c>
    </row>
    <row r="7" spans="2:6" x14ac:dyDescent="0.35">
      <c r="B7" t="s">
        <v>6230</v>
      </c>
      <c r="C7" s="16">
        <f>COUNTIF(Orders[Loyalty Card],"Yes")/COUNTA(Orders[Order ID])</f>
        <v>0.47899999999999998</v>
      </c>
      <c r="E7" s="17" t="s">
        <v>6247</v>
      </c>
      <c r="F7" s="18">
        <f>AVERAGE(Orders[Quantity])</f>
        <v>3.5510000000000002</v>
      </c>
    </row>
    <row r="8" spans="2:6" x14ac:dyDescent="0.35">
      <c r="E8" t="s">
        <v>6228</v>
      </c>
      <c r="F8" s="4">
        <f>SUM(Orders[Sales])</f>
        <v>45134.254999999997</v>
      </c>
    </row>
  </sheetData>
  <pageMargins left="0.7" right="0.7" top="0.75" bottom="0.75" header="0.3" footer="0.3"/>
  <tableParts count="2">
    <tablePart r:id="rId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DA6CD-D9EE-4F8C-9F90-62BFB3277751}">
  <dimension ref="A3:C7"/>
  <sheetViews>
    <sheetView workbookViewId="0">
      <selection activeCell="C6" sqref="C6"/>
    </sheetView>
  </sheetViews>
  <sheetFormatPr defaultRowHeight="14.5" x14ac:dyDescent="0.35"/>
  <cols>
    <col min="1" max="1" width="12.6328125" bestFit="1" customWidth="1"/>
    <col min="2" max="2" width="13.08984375" bestFit="1" customWidth="1"/>
    <col min="3" max="3" width="19.1796875" bestFit="1" customWidth="1"/>
    <col min="4" max="4" width="24" bestFit="1" customWidth="1"/>
    <col min="5" max="5" width="8.1796875" bestFit="1" customWidth="1"/>
    <col min="6" max="6" width="10.7265625" bestFit="1" customWidth="1"/>
  </cols>
  <sheetData>
    <row r="3" spans="1:3" x14ac:dyDescent="0.35">
      <c r="A3" s="5" t="s">
        <v>6222</v>
      </c>
      <c r="B3" s="4" t="s">
        <v>6220</v>
      </c>
      <c r="C3" t="s">
        <v>6245</v>
      </c>
    </row>
    <row r="4" spans="1:3" x14ac:dyDescent="0.35">
      <c r="A4" s="8" t="s">
        <v>6216</v>
      </c>
      <c r="B4" s="4">
        <v>11768.494999999997</v>
      </c>
      <c r="C4" s="4">
        <v>1059.16455</v>
      </c>
    </row>
    <row r="5" spans="1:3" x14ac:dyDescent="0.35">
      <c r="A5" s="8" t="s">
        <v>6217</v>
      </c>
      <c r="B5" s="4">
        <v>12306.439999999995</v>
      </c>
      <c r="C5" s="4">
        <v>1353.7083999999991</v>
      </c>
    </row>
    <row r="6" spans="1:3" x14ac:dyDescent="0.35">
      <c r="A6" s="8" t="s">
        <v>6218</v>
      </c>
      <c r="B6" s="4">
        <v>12054.074999999995</v>
      </c>
      <c r="C6" s="4">
        <v>1567.0297500000017</v>
      </c>
    </row>
    <row r="7" spans="1:3" x14ac:dyDescent="0.35">
      <c r="A7" s="8" t="s">
        <v>6219</v>
      </c>
      <c r="B7" s="4">
        <v>9005.2450000000099</v>
      </c>
      <c r="C7" s="4">
        <v>540.31470000000047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23751-7618-4323-A5A3-1EF315F9D1EA}">
  <dimension ref="A1:A28"/>
  <sheetViews>
    <sheetView showGridLines="0" zoomScale="90" zoomScaleNormal="90" workbookViewId="0">
      <selection activeCell="AB12" sqref="AB12"/>
    </sheetView>
  </sheetViews>
  <sheetFormatPr defaultRowHeight="14.5" x14ac:dyDescent="0.35"/>
  <cols>
    <col min="1" max="1" width="1.6328125" customWidth="1"/>
    <col min="17" max="17" width="1.6328125" customWidth="1"/>
    <col min="20" max="20" width="1.6328125" customWidth="1"/>
  </cols>
  <sheetData>
    <row r="1" ht="5" customHeight="1" x14ac:dyDescent="0.35"/>
    <row r="15" ht="8" customHeight="1" x14ac:dyDescent="0.35"/>
    <row r="28" ht="8"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5C5-6B74-4D82-9390-030197710604}">
  <dimension ref="A1:A30"/>
  <sheetViews>
    <sheetView showGridLines="0" zoomScale="90" zoomScaleNormal="90" workbookViewId="0">
      <selection activeCell="AA7" sqref="AA7"/>
    </sheetView>
  </sheetViews>
  <sheetFormatPr defaultRowHeight="14.5" x14ac:dyDescent="0.35"/>
  <cols>
    <col min="1" max="1" width="1.6328125" style="15" customWidth="1"/>
    <col min="2" max="4" width="8.7265625" style="15"/>
    <col min="5" max="5" width="1.6328125" style="15" customWidth="1"/>
    <col min="6" max="10" width="8.7265625" style="15"/>
    <col min="11" max="11" width="1.6328125" style="15" customWidth="1"/>
    <col min="12" max="16384" width="8.7265625" style="15"/>
  </cols>
  <sheetData>
    <row r="1" ht="5" customHeight="1" x14ac:dyDescent="0.35"/>
    <row r="5" ht="5" customHeight="1" x14ac:dyDescent="0.35"/>
    <row r="12" ht="5" customHeight="1" x14ac:dyDescent="0.35"/>
    <row r="14" ht="5" customHeight="1" x14ac:dyDescent="0.35"/>
    <row r="16" ht="5" customHeight="1" x14ac:dyDescent="0.35"/>
    <row r="19" ht="5" customHeight="1" x14ac:dyDescent="0.35"/>
    <row r="21" ht="10" customHeight="1" x14ac:dyDescent="0.35"/>
    <row r="26" ht="5" customHeight="1" x14ac:dyDescent="0.35"/>
    <row r="30" ht="5" customHeight="1"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64C46-93BD-43A2-8CBA-7EEC26348B91}">
  <dimension ref="A1:A46"/>
  <sheetViews>
    <sheetView showGridLines="0" tabSelected="1" zoomScale="70" zoomScaleNormal="70" workbookViewId="0">
      <selection activeCell="AE30" sqref="AE30"/>
    </sheetView>
  </sheetViews>
  <sheetFormatPr defaultRowHeight="14.5" x14ac:dyDescent="0.35"/>
  <cols>
    <col min="1" max="1" width="1.6328125" style="19" customWidth="1"/>
    <col min="2" max="6" width="8.7265625" style="19"/>
    <col min="7" max="7" width="1.6328125" style="19" customWidth="1"/>
    <col min="8" max="10" width="8.7265625" style="19"/>
    <col min="11" max="11" width="1.6328125" style="19" customWidth="1"/>
    <col min="12" max="14" width="8.7265625" style="19"/>
    <col min="15" max="17" width="1.6328125" style="19" customWidth="1"/>
    <col min="18" max="18" width="8.7265625" style="19"/>
    <col min="19" max="19" width="1.6328125" style="19" customWidth="1"/>
    <col min="20" max="16384" width="8.7265625" style="19"/>
  </cols>
  <sheetData>
    <row r="1" s="19" customFormat="1" ht="5" customHeight="1" x14ac:dyDescent="0.35"/>
    <row r="5" s="19" customFormat="1" ht="5" customHeight="1" x14ac:dyDescent="0.35"/>
    <row r="10" s="19" customFormat="1" ht="5" customHeight="1" x14ac:dyDescent="0.35"/>
    <row r="15" s="19" customFormat="1" ht="5" customHeight="1" x14ac:dyDescent="0.35"/>
    <row r="20" s="19" customFormat="1" ht="5" customHeight="1" x14ac:dyDescent="0.35"/>
    <row r="22" s="19" customFormat="1" ht="5" customHeight="1" x14ac:dyDescent="0.35"/>
    <row r="34" s="19" customFormat="1" ht="5" customHeight="1" x14ac:dyDescent="0.35"/>
    <row r="40" s="19" customFormat="1" ht="5" customHeight="1" x14ac:dyDescent="0.35"/>
    <row r="46" s="19" customFormat="1"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orders</vt:lpstr>
      <vt:lpstr>customers</vt:lpstr>
      <vt:lpstr>products</vt:lpstr>
      <vt:lpstr>TotalSales</vt:lpstr>
      <vt:lpstr>CountryBarChart</vt:lpstr>
      <vt:lpstr>Top5Customers</vt:lpstr>
      <vt:lpstr>ExecSalesByMonth</vt:lpstr>
      <vt:lpstr>ExecSalesDistribution</vt:lpstr>
      <vt:lpstr>ExecHeatMap</vt:lpstr>
      <vt:lpstr>ManagerTopCountryBySale</vt:lpstr>
      <vt:lpstr>ManagerSalesByLoyalty</vt:lpstr>
      <vt:lpstr>ManagerTop5Products</vt:lpstr>
      <vt:lpstr>ManagerTrendArabica</vt:lpstr>
      <vt:lpstr>ManagerTrendRobusta</vt:lpstr>
      <vt:lpstr>ManagerTrendLiberica</vt:lpstr>
      <vt:lpstr>ManagerTrendExecelsa</vt:lpstr>
      <vt:lpstr>kpis</vt:lpstr>
      <vt:lpstr>ManagerSaleProfit</vt:lpstr>
      <vt:lpstr>Dashboard</vt:lpstr>
      <vt:lpstr>Executive Dashboard</vt:lpstr>
      <vt:lpstr>Manager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Stephanie Dawsonn-Andoh</cp:lastModifiedBy>
  <cp:revision/>
  <dcterms:created xsi:type="dcterms:W3CDTF">2022-11-26T09:51:45Z</dcterms:created>
  <dcterms:modified xsi:type="dcterms:W3CDTF">2024-12-22T09:59:55Z</dcterms:modified>
  <cp:category/>
  <cp:contentStatus/>
</cp:coreProperties>
</file>